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_xlnm._FilterDatabase" localSheetId="1" hidden="1">'START LİSTE'!$A$5:$F$94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SONUÇ'!$A$1:$H$93</definedName>
    <definedName name="_xlnm.Print_Area" localSheetId="1">'START LİSTE'!$A$1:$F$97</definedName>
    <definedName name="_xlnm.Print_Area" localSheetId="3">'TAKIM KAYIT'!$A$1:$J$125</definedName>
    <definedName name="_xlnm.Print_Area" localSheetId="4">'TAKIM SONUÇ'!$A$1:$H$77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<sst xmlns="http://schemas.openxmlformats.org/spreadsheetml/2006/main" count="320" uniqueCount="137">
  <si>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</si>
  <si>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</si>
  <si>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</si>
  <si>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</si>
  <si>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</si>
  <si>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</si>
  <si>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</si>
  <si>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</si>
  <si>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</si>
  <si>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</si>
  <si>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</si>
  <si>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</si>
  <si>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</si>
  <si>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</si>
  <si>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</si>
  <si>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</si>
  <si>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</si>
  <si>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Küçük Kızlar</t>
  </si>
  <si>
    <t>İli - Kulüp/Okul Adı</t>
  </si>
  <si>
    <t>Küçükler ve Yıldızlar Bölgesel Kros Ligi 1.Kademe</t>
  </si>
  <si>
    <t>1500 Metre</t>
  </si>
  <si>
    <t>Tekirdağ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</si>
  <si>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Tekirdağ</t>
    </r>
    <r>
      <rPr>
        <b/>
        <i/>
        <sz val="12"/>
        <color indexed="10"/>
        <rFont val="Cambria"/>
        <family val="1"/>
      </rPr>
      <t>Atletizm İl Temsilciliği</t>
    </r>
  </si>
  <si>
    <t>KADER KAYA</t>
  </si>
  <si>
    <t>BİLECİK-BOZÜYÜK ÇARŞI SPOR KULÜBÜ</t>
  </si>
  <si>
    <t>T</t>
  </si>
  <si>
    <t>ELİF ÇETİN</t>
  </si>
  <si>
    <t>GÜLAY UZUN</t>
  </si>
  <si>
    <t>ÇAĞLA TEYRAN</t>
  </si>
  <si>
    <t>MERVE KAPLAN</t>
  </si>
  <si>
    <t>BURSA-BÜYÜKŞEHİR BEL.SPOR</t>
  </si>
  <si>
    <t>LEYLA YANARDAĞ</t>
  </si>
  <si>
    <t>JİYAN ÖNER</t>
  </si>
  <si>
    <t>HİDAYET ZEYNEP SÜMEN</t>
  </si>
  <si>
    <t>ESLEM GEZEN</t>
  </si>
  <si>
    <t>BURSA-OSMANGAZİ BLD.SPOR KLB.</t>
  </si>
  <si>
    <t>AZİME ALAN</t>
  </si>
  <si>
    <t>GÖKÇE KARACA</t>
  </si>
  <si>
    <t>İREM KOÇ</t>
  </si>
  <si>
    <t>SİMGE MUĞLI</t>
  </si>
  <si>
    <t>ÇANAKKALE BELEDİYESPOR</t>
  </si>
  <si>
    <t>MERVE ARSLAN</t>
  </si>
  <si>
    <t>ZEYNEP SANEM UZUN</t>
  </si>
  <si>
    <t>BELİNAY DENİZ GÜZEL</t>
  </si>
  <si>
    <t>GAMZE KAPLAN</t>
  </si>
  <si>
    <t>ÇANAKKALE/ ÇİÇEKLİDEDE SPOR</t>
  </si>
  <si>
    <t>FERİHAN BESLEN</t>
  </si>
  <si>
    <t>BÜŞRA AKBAŞ</t>
  </si>
  <si>
    <t>-</t>
  </si>
  <si>
    <t>SİMAY NUR ERGİN</t>
  </si>
  <si>
    <t>EDİRNE GENÇLİK SPOR KULÜBÜ</t>
  </si>
  <si>
    <t>FİLİZ SUSAMİŞLEYEN</t>
  </si>
  <si>
    <t>YAĞMUR VARDAR</t>
  </si>
  <si>
    <t>HİLAL NUR TURAN</t>
  </si>
  <si>
    <t>İSTANBUL-ALBAYRAK SPOR</t>
  </si>
  <si>
    <t>BERİVAN ÜRÜN</t>
  </si>
  <si>
    <t>BEHİYE GÜNDÜZ</t>
  </si>
  <si>
    <t>GAYE İŞBİLİR</t>
  </si>
  <si>
    <t>İSTANBUL- VELİBABA KTML GSK</t>
  </si>
  <si>
    <t xml:space="preserve">ÖZLEM YAŞLI </t>
  </si>
  <si>
    <t>YAĞMUR DOĞAN</t>
  </si>
  <si>
    <t>SEMANUR YAŞLI</t>
  </si>
  <si>
    <t>ŞEYMANUR ÇOŞKUN</t>
  </si>
  <si>
    <t>İSTANBUL-BEŞİKTAŞ J.K</t>
  </si>
  <si>
    <t>MERVE  SEFA KÖYLÜ</t>
  </si>
  <si>
    <t>DERYA  GÜLDAL</t>
  </si>
  <si>
    <t>İREM ZEHRA KARABABA</t>
  </si>
  <si>
    <t>İSTANBUL-MEVLANA SPOR KULÜBÜ</t>
  </si>
  <si>
    <t>CANSUNUR KAYA</t>
  </si>
  <si>
    <t>İSTANBUL-PENDİK BELEDİYE SPOR</t>
  </si>
  <si>
    <t>FATMA AYGÜL</t>
  </si>
  <si>
    <t>EZGİ KAYA</t>
  </si>
  <si>
    <t>EMİNE BAYDİLİ</t>
  </si>
  <si>
    <t>ZEHRA ERHAN</t>
  </si>
  <si>
    <t>KÜBRA ÖNALAN</t>
  </si>
  <si>
    <t xml:space="preserve">ESENGÜL KILINÇ                                             </t>
  </si>
  <si>
    <t>İSTANBUL-ÜSKÜDAR SPOR KULÜBÜ</t>
  </si>
  <si>
    <t xml:space="preserve">SEVCAN ÇELİK                                                 </t>
  </si>
  <si>
    <t xml:space="preserve">NURCAN ÖZ                                                       </t>
  </si>
  <si>
    <t>KOCAELİ- BÜYÜKŞEHİR BEL.KAĞITSPOR KULÜBÜ</t>
  </si>
  <si>
    <t>İREM USTA</t>
  </si>
  <si>
    <t>SÜMEYYE EROL</t>
  </si>
  <si>
    <t>DÖNDÜ KOÇ</t>
  </si>
  <si>
    <t>MERVE KOPAL</t>
  </si>
  <si>
    <t>KOCAELİ-DERİNCE BLD.SPOR</t>
  </si>
  <si>
    <t>MELEK YILANCI</t>
  </si>
  <si>
    <t>SİMGE KONAK</t>
  </si>
  <si>
    <t>SAKARYA BÜYÜKŞEHİR BEL.</t>
  </si>
  <si>
    <t>KÜBRA KABANA</t>
  </si>
  <si>
    <t>İLAYDA BULUT</t>
  </si>
  <si>
    <t>BUSE İSKENDER</t>
  </si>
  <si>
    <t>ÖZGENUR KARASU</t>
  </si>
  <si>
    <t>SAKARYA GENÇLİK HİZMETL..</t>
  </si>
  <si>
    <t>BERİVAN DEMİR</t>
  </si>
  <si>
    <t>SİNEM DURGUT</t>
  </si>
  <si>
    <t>BEYZA GÜZEL</t>
  </si>
  <si>
    <t>MİRAY YAREN YILDIRAN</t>
  </si>
  <si>
    <t>TEKİRDAĞ-GENÇLİK HİZMETLERİ KARMASI</t>
  </si>
  <si>
    <t>EYMEN MUSAOĞLU</t>
  </si>
  <si>
    <t>İREM HACIFAZLIOĞLU</t>
  </si>
  <si>
    <t>EDANUR EYÜBOĞLU</t>
  </si>
  <si>
    <t>YALOVA - GHSK</t>
  </si>
  <si>
    <t>SEMİHA AKSAKALLI</t>
  </si>
  <si>
    <t>ŞEVVAL CENGİZ</t>
  </si>
  <si>
    <t>NEVAL İSRA KURT</t>
  </si>
  <si>
    <t>ENİSE ÇORUMLU</t>
  </si>
  <si>
    <t>F</t>
  </si>
  <si>
    <t>KADER TOPRAK</t>
  </si>
  <si>
    <t>PINAR AKBACI</t>
  </si>
  <si>
    <t>İNCİ KAYA</t>
  </si>
  <si>
    <t>DOĞA GÜLCE ÖZCAN</t>
  </si>
  <si>
    <t>ÇANAKKALE/BİGA  SPOR</t>
  </si>
  <si>
    <t>YAGMUR KARA</t>
  </si>
  <si>
    <t>ELİF ÖZÇELİK</t>
  </si>
  <si>
    <t>GAMZE CANDIR</t>
  </si>
  <si>
    <t>RABİA YURDAM</t>
  </si>
  <si>
    <t>AYSE YILDIRIM CAKAR</t>
  </si>
  <si>
    <t>ZEMZEM CELEP</t>
  </si>
  <si>
    <t>GAMZE TUNCAY</t>
  </si>
  <si>
    <t>KIRKLERELİ GENÇLİK SPOR</t>
  </si>
  <si>
    <t>AYŞE KILIÇ</t>
  </si>
  <si>
    <t>HİLAL ÇAKICI</t>
  </si>
  <si>
    <t>ÖZNUR ÇEVİK</t>
  </si>
  <si>
    <t>BÜŞRA ÇOBAN</t>
  </si>
  <si>
    <t>FATMANUR AYTEPE</t>
  </si>
  <si>
    <t>ESRA YILIN</t>
  </si>
  <si>
    <t>DERYA TENBEL</t>
  </si>
  <si>
    <t>FEYZA BAHADIR</t>
  </si>
  <si>
    <t>ŞEYDA ARSLAN</t>
  </si>
  <si>
    <t>TUĞBA YAĞIŞAN</t>
  </si>
  <si>
    <t>SEVGİ İME</t>
  </si>
  <si>
    <t>SONGÜL ERBELE</t>
  </si>
  <si>
    <t>İSTANBUL-ÜSKÜDAR BELEDİYESPOR</t>
  </si>
  <si>
    <t>DNF</t>
  </si>
  <si>
    <t>DNS</t>
  </si>
  <si>
    <t>EVİN DEMİR</t>
  </si>
  <si>
    <t>GÜLSEVEN KILINÇ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</si>
</sst>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8"/>
      <name val="Tahoma"/>
      <family val="2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74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74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174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2" fontId="27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76" fontId="48" fillId="29" borderId="27" xfId="0" applyNumberFormat="1" applyFont="1" applyFill="1" applyBorder="1" applyAlignment="1">
      <alignment horizontal="center" vertical="center"/>
    </xf>
    <xf numFmtId="176" fontId="48" fillId="29" borderId="27" xfId="0" applyNumberFormat="1" applyFont="1" applyFill="1" applyBorder="1" applyAlignment="1">
      <alignment vertical="center"/>
    </xf>
    <xf numFmtId="173" fontId="48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76" fontId="48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33" fillId="25" borderId="14" xfId="0" applyFont="1" applyFill="1" applyBorder="1" applyAlignment="1" applyProtection="1">
      <alignment horizontal="center" vertical="center"/>
      <protection hidden="1"/>
    </xf>
    <xf numFmtId="174" fontId="29" fillId="27" borderId="23" xfId="0" applyNumberFormat="1" applyFont="1" applyFill="1" applyBorder="1" applyAlignment="1">
      <alignment horizontal="center" vertical="center" wrapText="1"/>
    </xf>
    <xf numFmtId="174" fontId="27" fillId="0" borderId="0" xfId="0" applyNumberFormat="1" applyFont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9" fillId="31" borderId="35" xfId="0" applyFont="1" applyFill="1" applyBorder="1" applyAlignment="1" applyProtection="1">
      <alignment vertical="center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49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51" fillId="32" borderId="35" xfId="0" applyFont="1" applyFill="1" applyBorder="1" applyAlignment="1" applyProtection="1">
      <alignment horizontal="right" vertical="center" wrapText="1"/>
      <protection hidden="1"/>
    </xf>
    <xf numFmtId="0" fontId="51" fillId="32" borderId="35" xfId="0" applyFont="1" applyFill="1" applyBorder="1" applyAlignment="1" applyProtection="1">
      <alignment horizontal="right" vertical="center"/>
      <protection hidden="1"/>
    </xf>
    <xf numFmtId="0" fontId="51" fillId="32" borderId="37" xfId="0" applyFont="1" applyFill="1" applyBorder="1" applyAlignment="1" applyProtection="1">
      <alignment horizontal="right" vertical="center" wrapText="1"/>
      <protection hidden="1"/>
    </xf>
    <xf numFmtId="0" fontId="52" fillId="31" borderId="35" xfId="0" applyFont="1" applyFill="1" applyBorder="1" applyAlignment="1" applyProtection="1">
      <alignment horizontal="right" vertical="center" wrapText="1"/>
      <protection hidden="1"/>
    </xf>
    <xf numFmtId="173" fontId="53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4" fillId="0" borderId="33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 shrinkToFit="1"/>
    </xf>
    <xf numFmtId="0" fontId="54" fillId="0" borderId="34" xfId="0" applyFont="1" applyFill="1" applyBorder="1" applyAlignment="1">
      <alignment horizontal="left" vertical="center"/>
    </xf>
    <xf numFmtId="0" fontId="54" fillId="0" borderId="34" xfId="0" applyFont="1" applyFill="1" applyBorder="1" applyAlignment="1">
      <alignment horizontal="left" vertical="center" shrinkToFit="1"/>
    </xf>
    <xf numFmtId="0" fontId="54" fillId="0" borderId="26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 shrinkToFit="1"/>
    </xf>
    <xf numFmtId="0" fontId="55" fillId="0" borderId="33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/>
    </xf>
    <xf numFmtId="0" fontId="56" fillId="0" borderId="34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 shrinkToFit="1"/>
    </xf>
    <xf numFmtId="0" fontId="56" fillId="0" borderId="25" xfId="0" applyFont="1" applyFill="1" applyBorder="1" applyAlignment="1">
      <alignment horizontal="left" vertical="center" shrinkToFit="1"/>
    </xf>
    <xf numFmtId="0" fontId="56" fillId="0" borderId="34" xfId="0" applyFont="1" applyFill="1" applyBorder="1" applyAlignment="1">
      <alignment horizontal="left" vertical="center" shrinkToFit="1"/>
    </xf>
    <xf numFmtId="0" fontId="56" fillId="0" borderId="43" xfId="0" applyFont="1" applyFill="1" applyBorder="1" applyAlignment="1">
      <alignment horizontal="left" vertical="center" shrinkToFit="1"/>
    </xf>
    <xf numFmtId="0" fontId="56" fillId="0" borderId="33" xfId="0" applyFont="1" applyFill="1" applyBorder="1" applyAlignment="1">
      <alignment horizontal="left" vertical="center" shrinkToFit="1"/>
    </xf>
    <xf numFmtId="0" fontId="55" fillId="0" borderId="44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left" vertical="center"/>
    </xf>
    <xf numFmtId="0" fontId="54" fillId="0" borderId="44" xfId="0" applyFont="1" applyFill="1" applyBorder="1" applyAlignment="1">
      <alignment horizontal="left" vertical="center" shrinkToFit="1"/>
    </xf>
    <xf numFmtId="0" fontId="27" fillId="0" borderId="44" xfId="0" applyFont="1" applyFill="1" applyBorder="1" applyAlignment="1">
      <alignment horizontal="center" vertical="center" wrapText="1"/>
    </xf>
    <xf numFmtId="14" fontId="27" fillId="0" borderId="44" xfId="0" applyNumberFormat="1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left" vertical="center"/>
    </xf>
    <xf numFmtId="0" fontId="54" fillId="0" borderId="46" xfId="0" applyFont="1" applyFill="1" applyBorder="1" applyAlignment="1">
      <alignment horizontal="left" vertical="center" shrinkToFit="1"/>
    </xf>
    <xf numFmtId="0" fontId="27" fillId="0" borderId="46" xfId="0" applyFont="1" applyFill="1" applyBorder="1" applyAlignment="1">
      <alignment horizontal="center" vertical="center" wrapText="1"/>
    </xf>
    <xf numFmtId="14" fontId="27" fillId="0" borderId="46" xfId="0" applyNumberFormat="1" applyFont="1" applyFill="1" applyBorder="1" applyAlignment="1">
      <alignment horizontal="center" vertical="center"/>
    </xf>
    <xf numFmtId="178" fontId="27" fillId="28" borderId="25" xfId="0" applyNumberFormat="1" applyFont="1" applyFill="1" applyBorder="1" applyAlignment="1" applyProtection="1">
      <alignment horizontal="center" vertical="center"/>
      <protection locked="0"/>
    </xf>
    <xf numFmtId="0" fontId="57" fillId="32" borderId="47" xfId="0" applyFont="1" applyFill="1" applyBorder="1" applyAlignment="1" applyProtection="1">
      <alignment horizontal="left" vertical="center" wrapText="1"/>
      <protection locked="0"/>
    </xf>
    <xf numFmtId="0" fontId="57" fillId="32" borderId="48" xfId="0" applyFont="1" applyFill="1" applyBorder="1" applyAlignment="1" applyProtection="1">
      <alignment horizontal="left" vertical="center" wrapText="1"/>
      <protection locked="0"/>
    </xf>
    <xf numFmtId="176" fontId="58" fillId="32" borderId="47" xfId="0" applyNumberFormat="1" applyFont="1" applyFill="1" applyBorder="1" applyAlignment="1" applyProtection="1">
      <alignment horizontal="left" vertical="center" wrapText="1"/>
      <protection locked="0"/>
    </xf>
    <xf numFmtId="176" fontId="58" fillId="32" borderId="48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9" xfId="0" applyFont="1" applyFill="1" applyBorder="1" applyAlignment="1" applyProtection="1">
      <alignment horizontal="center" wrapText="1"/>
      <protection hidden="1"/>
    </xf>
    <xf numFmtId="0" fontId="19" fillId="31" borderId="50" xfId="0" applyFont="1" applyFill="1" applyBorder="1" applyAlignment="1" applyProtection="1">
      <alignment horizontal="center" wrapText="1"/>
      <protection hidden="1"/>
    </xf>
    <xf numFmtId="0" fontId="19" fillId="31" borderId="51" xfId="0" applyFont="1" applyFill="1" applyBorder="1" applyAlignment="1" applyProtection="1">
      <alignment horizontal="center" wrapText="1"/>
      <protection hidden="1"/>
    </xf>
    <xf numFmtId="0" fontId="59" fillId="31" borderId="35" xfId="0" applyFont="1" applyFill="1" applyBorder="1" applyAlignment="1" applyProtection="1">
      <alignment horizontal="center" vertical="center" wrapText="1"/>
      <protection locked="0"/>
    </xf>
    <xf numFmtId="0" fontId="59" fillId="31" borderId="0" xfId="0" applyFont="1" applyFill="1" applyBorder="1" applyAlignment="1" applyProtection="1">
      <alignment horizontal="center" vertical="center"/>
      <protection locked="0"/>
    </xf>
    <xf numFmtId="0" fontId="59" fillId="31" borderId="36" xfId="0" applyFont="1" applyFill="1" applyBorder="1" applyAlignment="1" applyProtection="1">
      <alignment horizontal="center" vertical="center"/>
      <protection locked="0"/>
    </xf>
    <xf numFmtId="0" fontId="59" fillId="31" borderId="35" xfId="0" applyFont="1" applyFill="1" applyBorder="1" applyAlignment="1" applyProtection="1">
      <alignment horizontal="center" vertical="center"/>
      <protection hidden="1"/>
    </xf>
    <xf numFmtId="0" fontId="59" fillId="31" borderId="0" xfId="0" applyFont="1" applyFill="1" applyBorder="1" applyAlignment="1" applyProtection="1">
      <alignment horizontal="center" vertical="center"/>
      <protection hidden="1"/>
    </xf>
    <xf numFmtId="0" fontId="59" fillId="31" borderId="36" xfId="0" applyFont="1" applyFill="1" applyBorder="1" applyAlignment="1" applyProtection="1">
      <alignment horizontal="center" vertical="center"/>
      <protection hidden="1"/>
    </xf>
    <xf numFmtId="0" fontId="50" fillId="31" borderId="35" xfId="0" applyFont="1" applyFill="1" applyBorder="1" applyAlignment="1" applyProtection="1">
      <alignment horizontal="center" vertical="center" wrapText="1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50" fillId="31" borderId="36" xfId="0" applyFont="1" applyFill="1" applyBorder="1" applyAlignment="1" applyProtection="1">
      <alignment horizontal="center" vertical="center"/>
      <protection hidden="1"/>
    </xf>
    <xf numFmtId="0" fontId="50" fillId="31" borderId="35" xfId="0" applyFont="1" applyFill="1" applyBorder="1" applyAlignment="1" applyProtection="1">
      <alignment horizontal="center" vertical="center"/>
      <protection hidden="1"/>
    </xf>
    <xf numFmtId="0" fontId="48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72" fontId="60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33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61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center" vertical="center"/>
    </xf>
    <xf numFmtId="0" fontId="33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73" fontId="61" fillId="29" borderId="0" xfId="0" applyNumberFormat="1" applyFont="1" applyFill="1" applyAlignment="1" applyProtection="1">
      <alignment horizontal="center" wrapText="1"/>
      <protection hidden="1"/>
    </xf>
    <xf numFmtId="0" fontId="32" fillId="29" borderId="27" xfId="0" applyFont="1" applyFill="1" applyBorder="1" applyAlignment="1" applyProtection="1">
      <alignment horizontal="left" vertical="center"/>
      <protection hidden="1"/>
    </xf>
    <xf numFmtId="173" fontId="48" fillId="29" borderId="27" xfId="0" applyNumberFormat="1" applyFont="1" applyFill="1" applyBorder="1" applyAlignment="1" applyProtection="1">
      <alignment horizontal="left" vertical="center"/>
      <protection hidden="1"/>
    </xf>
    <xf numFmtId="176" fontId="48" fillId="29" borderId="27" xfId="0" applyNumberFormat="1" applyFont="1" applyFill="1" applyBorder="1" applyAlignment="1" applyProtection="1">
      <alignment horizontal="center" vertical="center"/>
      <protection hidden="1"/>
    </xf>
    <xf numFmtId="0" fontId="45" fillId="27" borderId="0" xfId="0" applyFont="1" applyFill="1" applyAlignment="1" applyProtection="1">
      <alignment horizontal="center" vertical="center" wrapText="1"/>
      <protection hidden="1"/>
    </xf>
    <xf numFmtId="173" fontId="61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66675</xdr:rowOff>
    </xdr:from>
    <xdr:to>
      <xdr:col>1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57150</xdr:rowOff>
    </xdr:from>
    <xdr:to>
      <xdr:col>1</xdr:col>
      <xdr:colOff>933450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5715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G21" sqref="G21"/>
    </sheetView>
  </sheetViews>
  <sheetFormatPr defaultColWidth="9.00390625" defaultRowHeight="12.75"/>
  <cols>
    <col min="1" max="2" width="30.375" style="94" customWidth="1"/>
    <col min="3" max="3" width="30.875" style="94" customWidth="1"/>
    <col min="4" max="7" width="6.75390625" style="94" customWidth="1"/>
    <col min="8" max="8" width="9.125" style="94" bestFit="1" customWidth="1"/>
    <col min="9" max="9" width="8.875" style="94" bestFit="1" customWidth="1"/>
    <col min="10" max="10" width="8.75390625" style="94" bestFit="1" customWidth="1"/>
    <col min="11" max="11" width="6.625" style="94" customWidth="1"/>
    <col min="12" max="12" width="6.75390625" style="94" customWidth="1"/>
    <col min="13" max="13" width="7.25390625" style="94" customWidth="1"/>
    <col min="14" max="14" width="7.00390625" style="94" customWidth="1"/>
    <col min="15" max="16384" width="9.125" style="94" customWidth="1"/>
  </cols>
  <sheetData>
    <row r="1" spans="1:3" ht="24" customHeight="1">
      <c r="A1" s="151"/>
      <c r="B1" s="152"/>
      <c r="C1" s="153"/>
    </row>
    <row r="2" spans="1:5" ht="42.75" customHeight="1">
      <c r="A2" s="154" t="s">
        <v>22</v>
      </c>
      <c r="B2" s="155"/>
      <c r="C2" s="156"/>
      <c r="D2" s="95"/>
      <c r="E2" s="95"/>
    </row>
    <row r="3" spans="1:5" ht="24.75" customHeight="1">
      <c r="A3" s="157"/>
      <c r="B3" s="158"/>
      <c r="C3" s="159"/>
      <c r="D3" s="96"/>
      <c r="E3" s="96"/>
    </row>
    <row r="4" spans="1:3" s="100" customFormat="1" ht="24.75" customHeight="1">
      <c r="A4" s="97"/>
      <c r="B4" s="98"/>
      <c r="C4" s="99"/>
    </row>
    <row r="5" spans="1:3" s="100" customFormat="1" ht="24.75" customHeight="1">
      <c r="A5" s="97"/>
      <c r="B5" s="98"/>
      <c r="C5" s="99"/>
    </row>
    <row r="6" spans="1:3" s="100" customFormat="1" ht="24.75" customHeight="1">
      <c r="A6" s="97"/>
      <c r="B6" s="98"/>
      <c r="C6" s="99"/>
    </row>
    <row r="7" spans="1:3" s="100" customFormat="1" ht="24.75" customHeight="1">
      <c r="A7" s="97"/>
      <c r="B7" s="98"/>
      <c r="C7" s="99"/>
    </row>
    <row r="8" spans="1:3" s="100" customFormat="1" ht="24.75" customHeight="1">
      <c r="A8" s="97"/>
      <c r="B8" s="98"/>
      <c r="C8" s="99"/>
    </row>
    <row r="9" spans="1:3" ht="22.5">
      <c r="A9" s="97"/>
      <c r="B9" s="98"/>
      <c r="C9" s="99"/>
    </row>
    <row r="10" spans="1:3" ht="22.5">
      <c r="A10" s="97"/>
      <c r="B10" s="98"/>
      <c r="C10" s="99"/>
    </row>
    <row r="11" spans="1:3" ht="22.5">
      <c r="A11" s="97"/>
      <c r="B11" s="98"/>
      <c r="C11" s="99"/>
    </row>
    <row r="12" spans="1:3" ht="22.5">
      <c r="A12" s="97"/>
      <c r="B12" s="98"/>
      <c r="C12" s="99"/>
    </row>
    <row r="13" spans="1:3" ht="22.5">
      <c r="A13" s="97"/>
      <c r="B13" s="98"/>
      <c r="C13" s="99"/>
    </row>
    <row r="14" spans="1:3" ht="22.5">
      <c r="A14" s="97"/>
      <c r="B14" s="98"/>
      <c r="C14" s="99"/>
    </row>
    <row r="15" spans="1:3" ht="22.5">
      <c r="A15" s="97"/>
      <c r="B15" s="98"/>
      <c r="C15" s="99"/>
    </row>
    <row r="16" spans="1:3" ht="22.5">
      <c r="A16" s="97"/>
      <c r="B16" s="98"/>
      <c r="C16" s="99"/>
    </row>
    <row r="17" spans="1:3" ht="22.5">
      <c r="A17" s="97"/>
      <c r="B17" s="98"/>
      <c r="C17" s="99"/>
    </row>
    <row r="18" spans="1:3" ht="18" customHeight="1">
      <c r="A18" s="160" t="str">
        <f>B24</f>
        <v>Küçükler ve Yıldızlar Bölgesel Kros Ligi 1.Kademe</v>
      </c>
      <c r="B18" s="161"/>
      <c r="C18" s="162"/>
    </row>
    <row r="19" spans="1:3" ht="31.5" customHeight="1">
      <c r="A19" s="163"/>
      <c r="B19" s="161"/>
      <c r="C19" s="162"/>
    </row>
    <row r="20" spans="1:3" ht="25.5" customHeight="1">
      <c r="A20" s="101"/>
      <c r="B20" s="102" t="str">
        <f>B27</f>
        <v>Tekirdağ</v>
      </c>
      <c r="C20" s="103"/>
    </row>
    <row r="21" spans="1:3" ht="25.5" customHeight="1">
      <c r="A21" s="97"/>
      <c r="B21" s="104"/>
      <c r="C21" s="99"/>
    </row>
    <row r="22" spans="1:3" ht="25.5" customHeight="1">
      <c r="A22" s="97"/>
      <c r="B22" s="104"/>
      <c r="C22" s="99"/>
    </row>
    <row r="23" spans="1:3" ht="22.5">
      <c r="A23" s="105"/>
      <c r="B23" s="106"/>
      <c r="C23" s="107"/>
    </row>
    <row r="24" spans="1:3" ht="21" customHeight="1">
      <c r="A24" s="108" t="s">
        <v>10</v>
      </c>
      <c r="B24" s="147" t="s">
        <v>19</v>
      </c>
      <c r="C24" s="148"/>
    </row>
    <row r="25" spans="1:3" ht="21" customHeight="1">
      <c r="A25" s="108" t="s">
        <v>11</v>
      </c>
      <c r="B25" s="147" t="s">
        <v>20</v>
      </c>
      <c r="C25" s="148"/>
    </row>
    <row r="26" spans="1:3" ht="21" customHeight="1">
      <c r="A26" s="109" t="s">
        <v>12</v>
      </c>
      <c r="B26" s="147" t="s">
        <v>17</v>
      </c>
      <c r="C26" s="148"/>
    </row>
    <row r="27" spans="1:3" ht="21" customHeight="1">
      <c r="A27" s="108" t="s">
        <v>13</v>
      </c>
      <c r="B27" s="147" t="s">
        <v>21</v>
      </c>
      <c r="C27" s="148"/>
    </row>
    <row r="28" spans="1:3" ht="21" customHeight="1">
      <c r="A28" s="110" t="s">
        <v>16</v>
      </c>
      <c r="B28" s="149">
        <v>41672.416666666664</v>
      </c>
      <c r="C28" s="150"/>
    </row>
    <row r="29" spans="1:3" ht="21" customHeight="1">
      <c r="A29" s="111"/>
      <c r="B29" s="112"/>
      <c r="C29" s="113"/>
    </row>
    <row r="30" spans="1:3" ht="21" customHeight="1">
      <c r="A30" s="111"/>
      <c r="B30" s="112"/>
      <c r="C30" s="113"/>
    </row>
    <row r="31" spans="1:3" ht="21" customHeight="1">
      <c r="A31" s="111"/>
      <c r="B31" s="112"/>
      <c r="C31" s="113"/>
    </row>
    <row r="32" spans="1:3" ht="21" customHeight="1">
      <c r="A32" s="111"/>
      <c r="B32" s="112"/>
      <c r="C32" s="113"/>
    </row>
    <row r="33" spans="1:3" ht="18.75" thickBot="1">
      <c r="A33" s="114"/>
      <c r="B33" s="115"/>
      <c r="C33" s="116"/>
    </row>
  </sheetData>
  <sheetProtection password="EF9D" sheet="1"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97"/>
  <sheetViews>
    <sheetView view="pageBreakPreview" zoomScaleSheetLayoutView="100" zoomScalePageLayoutView="0" workbookViewId="0" topLeftCell="A1">
      <selection activeCell="K34" sqref="K34"/>
    </sheetView>
  </sheetViews>
  <sheetFormatPr defaultColWidth="9.00390625" defaultRowHeight="12.75"/>
  <cols>
    <col min="1" max="1" width="5.125" style="85" customWidth="1"/>
    <col min="2" max="2" width="6.375" style="85" bestFit="1" customWidth="1"/>
    <col min="3" max="3" width="29.75390625" style="86" customWidth="1"/>
    <col min="4" max="4" width="35.75390625" style="86" customWidth="1"/>
    <col min="5" max="5" width="7.125" style="85" customWidth="1"/>
    <col min="6" max="6" width="14.25390625" style="87" customWidth="1"/>
    <col min="7" max="16384" width="9.125" style="64" customWidth="1"/>
  </cols>
  <sheetData>
    <row r="1" spans="1:6" ht="35.25" customHeight="1">
      <c r="A1" s="165" t="str">
        <f>KAPAK!A2</f>
        <v>Türkiye Atletizm Federasyonu
TekirdağAtletizm İl Temsilciliği</v>
      </c>
      <c r="B1" s="166"/>
      <c r="C1" s="166"/>
      <c r="D1" s="166"/>
      <c r="E1" s="166"/>
      <c r="F1" s="166"/>
    </row>
    <row r="2" spans="1:6" ht="18.75" customHeight="1">
      <c r="A2" s="167" t="str">
        <f>KAPAK!B24</f>
        <v>Küçükler ve Yıldızlar Bölgesel Kros Ligi 1.Kademe</v>
      </c>
      <c r="B2" s="167"/>
      <c r="C2" s="167"/>
      <c r="D2" s="167"/>
      <c r="E2" s="167"/>
      <c r="F2" s="167"/>
    </row>
    <row r="3" spans="1:6" ht="15.75" customHeight="1">
      <c r="A3" s="168" t="str">
        <f>KAPAK!B27</f>
        <v>Tekirdağ</v>
      </c>
      <c r="B3" s="168"/>
      <c r="C3" s="168"/>
      <c r="D3" s="168"/>
      <c r="E3" s="168"/>
      <c r="F3" s="168"/>
    </row>
    <row r="4" spans="1:6" ht="15.75" customHeight="1">
      <c r="A4" s="164" t="str">
        <f>KAPAK!B26</f>
        <v>Küçük Kızlar</v>
      </c>
      <c r="B4" s="164"/>
      <c r="C4" s="164"/>
      <c r="D4" s="65" t="str">
        <f>KAPAK!B25</f>
        <v>1500 Metre</v>
      </c>
      <c r="E4" s="169">
        <f>KAPAK!B28</f>
        <v>41672.416666666664</v>
      </c>
      <c r="F4" s="169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18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661</v>
      </c>
      <c r="C6" s="117" t="s">
        <v>23</v>
      </c>
      <c r="D6" s="135" t="s">
        <v>24</v>
      </c>
      <c r="E6" s="93" t="s">
        <v>25</v>
      </c>
      <c r="F6" s="72">
        <v>37247</v>
      </c>
    </row>
    <row r="7" spans="1:6" ht="16.5" customHeight="1">
      <c r="A7" s="73">
        <v>2</v>
      </c>
      <c r="B7" s="125">
        <v>662</v>
      </c>
      <c r="C7" s="118" t="s">
        <v>26</v>
      </c>
      <c r="D7" s="132" t="s">
        <v>24</v>
      </c>
      <c r="E7" s="76" t="s">
        <v>25</v>
      </c>
      <c r="F7" s="77">
        <v>36913</v>
      </c>
    </row>
    <row r="8" spans="1:6" ht="16.5" customHeight="1">
      <c r="A8" s="73">
        <v>3</v>
      </c>
      <c r="B8" s="125">
        <v>663</v>
      </c>
      <c r="C8" s="118" t="s">
        <v>27</v>
      </c>
      <c r="D8" s="132" t="s">
        <v>24</v>
      </c>
      <c r="E8" s="76" t="s">
        <v>25</v>
      </c>
      <c r="F8" s="77">
        <v>37111</v>
      </c>
    </row>
    <row r="9" spans="1:6" ht="16.5" customHeight="1" thickBot="1">
      <c r="A9" s="73">
        <v>4</v>
      </c>
      <c r="B9" s="126">
        <v>664</v>
      </c>
      <c r="C9" s="120" t="s">
        <v>28</v>
      </c>
      <c r="D9" s="133" t="s">
        <v>24</v>
      </c>
      <c r="E9" s="80" t="s">
        <v>25</v>
      </c>
      <c r="F9" s="81">
        <v>36297</v>
      </c>
    </row>
    <row r="10" spans="1:6" ht="16.5" customHeight="1">
      <c r="A10" s="73">
        <v>5</v>
      </c>
      <c r="B10" s="127">
        <v>665</v>
      </c>
      <c r="C10" s="122" t="s">
        <v>29</v>
      </c>
      <c r="D10" s="131" t="s">
        <v>30</v>
      </c>
      <c r="E10" s="83" t="s">
        <v>25</v>
      </c>
      <c r="F10" s="84">
        <v>36850</v>
      </c>
    </row>
    <row r="11" spans="1:6" ht="16.5" customHeight="1">
      <c r="A11" s="73">
        <v>6</v>
      </c>
      <c r="B11" s="125">
        <v>666</v>
      </c>
      <c r="C11" s="118" t="s">
        <v>31</v>
      </c>
      <c r="D11" s="132" t="s">
        <v>30</v>
      </c>
      <c r="E11" s="76" t="s">
        <v>25</v>
      </c>
      <c r="F11" s="77">
        <v>36526</v>
      </c>
    </row>
    <row r="12" spans="1:6" ht="16.5" customHeight="1">
      <c r="A12" s="73">
        <v>7</v>
      </c>
      <c r="B12" s="125">
        <v>667</v>
      </c>
      <c r="C12" s="118" t="s">
        <v>32</v>
      </c>
      <c r="D12" s="132" t="s">
        <v>30</v>
      </c>
      <c r="E12" s="76" t="s">
        <v>25</v>
      </c>
      <c r="F12" s="77">
        <v>37160</v>
      </c>
    </row>
    <row r="13" spans="1:6" ht="16.5" customHeight="1" thickBot="1">
      <c r="A13" s="73">
        <v>8</v>
      </c>
      <c r="B13" s="126">
        <v>668</v>
      </c>
      <c r="C13" s="120" t="s">
        <v>33</v>
      </c>
      <c r="D13" s="133" t="s">
        <v>30</v>
      </c>
      <c r="E13" s="80" t="s">
        <v>25</v>
      </c>
      <c r="F13" s="81">
        <v>36600</v>
      </c>
    </row>
    <row r="14" spans="1:6" ht="16.5" customHeight="1">
      <c r="A14" s="73">
        <v>9</v>
      </c>
      <c r="B14" s="127">
        <v>669</v>
      </c>
      <c r="C14" s="122" t="s">
        <v>34</v>
      </c>
      <c r="D14" s="131" t="s">
        <v>35</v>
      </c>
      <c r="E14" s="83" t="s">
        <v>25</v>
      </c>
      <c r="F14" s="84">
        <v>36910</v>
      </c>
    </row>
    <row r="15" spans="1:6" ht="16.5" customHeight="1">
      <c r="A15" s="73">
        <v>10</v>
      </c>
      <c r="B15" s="125">
        <v>670</v>
      </c>
      <c r="C15" s="118" t="s">
        <v>36</v>
      </c>
      <c r="D15" s="131" t="s">
        <v>35</v>
      </c>
      <c r="E15" s="76" t="s">
        <v>25</v>
      </c>
      <c r="F15" s="77">
        <v>36526</v>
      </c>
    </row>
    <row r="16" spans="1:6" ht="16.5" customHeight="1">
      <c r="A16" s="73">
        <v>11</v>
      </c>
      <c r="B16" s="125">
        <v>671</v>
      </c>
      <c r="C16" s="118" t="s">
        <v>37</v>
      </c>
      <c r="D16" s="131" t="s">
        <v>35</v>
      </c>
      <c r="E16" s="76" t="s">
        <v>25</v>
      </c>
      <c r="F16" s="77">
        <v>36180</v>
      </c>
    </row>
    <row r="17" spans="1:6" ht="16.5" customHeight="1" thickBot="1">
      <c r="A17" s="73">
        <v>12</v>
      </c>
      <c r="B17" s="126">
        <v>672</v>
      </c>
      <c r="C17" s="120" t="s">
        <v>38</v>
      </c>
      <c r="D17" s="134" t="s">
        <v>35</v>
      </c>
      <c r="E17" s="80" t="s">
        <v>25</v>
      </c>
      <c r="F17" s="81">
        <v>37247</v>
      </c>
    </row>
    <row r="18" spans="1:6" ht="16.5" customHeight="1">
      <c r="A18" s="73">
        <v>13</v>
      </c>
      <c r="B18" s="127">
        <v>673</v>
      </c>
      <c r="C18" s="122" t="s">
        <v>39</v>
      </c>
      <c r="D18" s="131" t="s">
        <v>40</v>
      </c>
      <c r="E18" s="83" t="s">
        <v>25</v>
      </c>
      <c r="F18" s="84">
        <v>36892</v>
      </c>
    </row>
    <row r="19" spans="1:6" ht="16.5" customHeight="1">
      <c r="A19" s="73">
        <v>14</v>
      </c>
      <c r="B19" s="125">
        <v>674</v>
      </c>
      <c r="C19" s="118" t="s">
        <v>41</v>
      </c>
      <c r="D19" s="131" t="s">
        <v>40</v>
      </c>
      <c r="E19" s="76" t="s">
        <v>25</v>
      </c>
      <c r="F19" s="77">
        <v>36161</v>
      </c>
    </row>
    <row r="20" spans="1:6" ht="16.5" customHeight="1">
      <c r="A20" s="73">
        <v>15</v>
      </c>
      <c r="B20" s="125">
        <v>675</v>
      </c>
      <c r="C20" s="118" t="s">
        <v>42</v>
      </c>
      <c r="D20" s="131" t="s">
        <v>40</v>
      </c>
      <c r="E20" s="76" t="s">
        <v>25</v>
      </c>
      <c r="F20" s="77">
        <v>36892</v>
      </c>
    </row>
    <row r="21" spans="1:6" ht="16.5" customHeight="1" thickBot="1">
      <c r="A21" s="73">
        <v>16</v>
      </c>
      <c r="B21" s="126">
        <v>676</v>
      </c>
      <c r="C21" s="120" t="s">
        <v>43</v>
      </c>
      <c r="D21" s="134" t="s">
        <v>40</v>
      </c>
      <c r="E21" s="80" t="s">
        <v>25</v>
      </c>
      <c r="F21" s="81">
        <v>36161</v>
      </c>
    </row>
    <row r="22" spans="1:6" ht="16.5" customHeight="1">
      <c r="A22" s="73">
        <v>17</v>
      </c>
      <c r="B22" s="127">
        <v>677</v>
      </c>
      <c r="C22" s="122" t="s">
        <v>44</v>
      </c>
      <c r="D22" s="123" t="s">
        <v>45</v>
      </c>
      <c r="E22" s="83" t="s">
        <v>25</v>
      </c>
      <c r="F22" s="84">
        <v>36798</v>
      </c>
    </row>
    <row r="23" spans="1:6" ht="16.5" customHeight="1">
      <c r="A23" s="73">
        <v>18</v>
      </c>
      <c r="B23" s="125">
        <v>678</v>
      </c>
      <c r="C23" s="118" t="s">
        <v>46</v>
      </c>
      <c r="D23" s="119" t="s">
        <v>45</v>
      </c>
      <c r="E23" s="76" t="s">
        <v>25</v>
      </c>
      <c r="F23" s="77">
        <v>36760</v>
      </c>
    </row>
    <row r="24" spans="1:6" ht="16.5" customHeight="1">
      <c r="A24" s="73">
        <v>19</v>
      </c>
      <c r="B24" s="125">
        <v>679</v>
      </c>
      <c r="C24" s="118" t="s">
        <v>47</v>
      </c>
      <c r="D24" s="119" t="s">
        <v>45</v>
      </c>
      <c r="E24" s="76" t="s">
        <v>25</v>
      </c>
      <c r="F24" s="77">
        <v>37106</v>
      </c>
    </row>
    <row r="25" spans="1:6" ht="16.5" customHeight="1" thickBot="1">
      <c r="A25" s="73"/>
      <c r="B25" s="126" t="s">
        <v>48</v>
      </c>
      <c r="C25" s="120" t="s">
        <v>48</v>
      </c>
      <c r="D25" s="121" t="s">
        <v>45</v>
      </c>
      <c r="E25" s="80" t="s">
        <v>25</v>
      </c>
      <c r="F25" s="81" t="s">
        <v>48</v>
      </c>
    </row>
    <row r="26" spans="1:6" ht="16.5" customHeight="1">
      <c r="A26" s="73">
        <v>20</v>
      </c>
      <c r="B26" s="136">
        <v>681</v>
      </c>
      <c r="C26" s="137" t="s">
        <v>49</v>
      </c>
      <c r="D26" s="138" t="s">
        <v>50</v>
      </c>
      <c r="E26" s="139" t="s">
        <v>25</v>
      </c>
      <c r="F26" s="140">
        <v>36874</v>
      </c>
    </row>
    <row r="27" spans="1:6" ht="16.5" customHeight="1">
      <c r="A27" s="73">
        <v>21</v>
      </c>
      <c r="B27" s="136">
        <v>682</v>
      </c>
      <c r="C27" s="137" t="s">
        <v>51</v>
      </c>
      <c r="D27" s="138" t="s">
        <v>50</v>
      </c>
      <c r="E27" s="139" t="s">
        <v>25</v>
      </c>
      <c r="F27" s="140">
        <v>36526</v>
      </c>
    </row>
    <row r="28" spans="1:6" ht="16.5" customHeight="1">
      <c r="A28" s="73">
        <v>22</v>
      </c>
      <c r="B28" s="136">
        <v>683</v>
      </c>
      <c r="C28" s="137" t="s">
        <v>52</v>
      </c>
      <c r="D28" s="138" t="s">
        <v>50</v>
      </c>
      <c r="E28" s="139" t="s">
        <v>25</v>
      </c>
      <c r="F28" s="140">
        <v>36161</v>
      </c>
    </row>
    <row r="29" spans="1:6" ht="16.5" customHeight="1" thickBot="1">
      <c r="A29" s="73">
        <v>23</v>
      </c>
      <c r="B29" s="141">
        <v>684</v>
      </c>
      <c r="C29" s="142" t="s">
        <v>53</v>
      </c>
      <c r="D29" s="143" t="s">
        <v>50</v>
      </c>
      <c r="E29" s="144" t="s">
        <v>25</v>
      </c>
      <c r="F29" s="145">
        <v>37020</v>
      </c>
    </row>
    <row r="30" spans="1:6" ht="16.5" customHeight="1">
      <c r="A30" s="73">
        <v>24</v>
      </c>
      <c r="B30" s="127">
        <v>685</v>
      </c>
      <c r="C30" s="122" t="s">
        <v>130</v>
      </c>
      <c r="D30" s="131" t="s">
        <v>54</v>
      </c>
      <c r="E30" s="83" t="s">
        <v>25</v>
      </c>
      <c r="F30" s="84">
        <v>36571</v>
      </c>
    </row>
    <row r="31" spans="1:6" ht="16.5" customHeight="1">
      <c r="A31" s="73">
        <v>25</v>
      </c>
      <c r="B31" s="125">
        <v>686</v>
      </c>
      <c r="C31" s="118" t="s">
        <v>55</v>
      </c>
      <c r="D31" s="132" t="s">
        <v>54</v>
      </c>
      <c r="E31" s="76" t="s">
        <v>25</v>
      </c>
      <c r="F31" s="77">
        <v>36892</v>
      </c>
    </row>
    <row r="32" spans="1:6" ht="16.5" customHeight="1">
      <c r="A32" s="73">
        <v>26</v>
      </c>
      <c r="B32" s="125">
        <v>687</v>
      </c>
      <c r="C32" s="118" t="s">
        <v>124</v>
      </c>
      <c r="D32" s="132" t="s">
        <v>54</v>
      </c>
      <c r="E32" s="76" t="s">
        <v>25</v>
      </c>
      <c r="F32" s="77">
        <v>36925</v>
      </c>
    </row>
    <row r="33" spans="1:6" ht="16.5" customHeight="1" thickBot="1">
      <c r="A33" s="73">
        <v>27</v>
      </c>
      <c r="B33" s="126">
        <v>688</v>
      </c>
      <c r="C33" s="120" t="s">
        <v>56</v>
      </c>
      <c r="D33" s="133" t="s">
        <v>54</v>
      </c>
      <c r="E33" s="80" t="s">
        <v>25</v>
      </c>
      <c r="F33" s="81">
        <v>36953</v>
      </c>
    </row>
    <row r="34" spans="1:6" ht="16.5" customHeight="1">
      <c r="A34" s="73">
        <v>28</v>
      </c>
      <c r="B34" s="127">
        <v>689</v>
      </c>
      <c r="C34" s="122" t="s">
        <v>57</v>
      </c>
      <c r="D34" s="131" t="s">
        <v>58</v>
      </c>
      <c r="E34" s="83" t="s">
        <v>25</v>
      </c>
      <c r="F34" s="84">
        <v>36288</v>
      </c>
    </row>
    <row r="35" spans="1:6" ht="16.5" customHeight="1">
      <c r="A35" s="73">
        <v>29</v>
      </c>
      <c r="B35" s="125">
        <v>690</v>
      </c>
      <c r="C35" s="118" t="s">
        <v>59</v>
      </c>
      <c r="D35" s="132" t="s">
        <v>58</v>
      </c>
      <c r="E35" s="76" t="s">
        <v>25</v>
      </c>
      <c r="F35" s="77">
        <v>36714</v>
      </c>
    </row>
    <row r="36" spans="1:6" ht="16.5" customHeight="1">
      <c r="A36" s="73">
        <v>30</v>
      </c>
      <c r="B36" s="125">
        <v>691</v>
      </c>
      <c r="C36" s="118" t="s">
        <v>60</v>
      </c>
      <c r="D36" s="132" t="s">
        <v>58</v>
      </c>
      <c r="E36" s="76" t="s">
        <v>25</v>
      </c>
      <c r="F36" s="77">
        <v>36975</v>
      </c>
    </row>
    <row r="37" spans="1:6" ht="16.5" customHeight="1" thickBot="1">
      <c r="A37" s="73">
        <v>31</v>
      </c>
      <c r="B37" s="126">
        <v>692</v>
      </c>
      <c r="C37" s="120" t="s">
        <v>61</v>
      </c>
      <c r="D37" s="133" t="s">
        <v>58</v>
      </c>
      <c r="E37" s="80" t="s">
        <v>25</v>
      </c>
      <c r="F37" s="81">
        <v>37127</v>
      </c>
    </row>
    <row r="38" spans="1:6" ht="16.5" customHeight="1">
      <c r="A38" s="73">
        <v>32</v>
      </c>
      <c r="B38" s="127">
        <v>693</v>
      </c>
      <c r="C38" s="122" t="s">
        <v>62</v>
      </c>
      <c r="D38" s="131" t="s">
        <v>63</v>
      </c>
      <c r="E38" s="83" t="s">
        <v>25</v>
      </c>
      <c r="F38" s="84">
        <v>36721</v>
      </c>
    </row>
    <row r="39" spans="1:6" ht="16.5" customHeight="1">
      <c r="A39" s="73">
        <v>33</v>
      </c>
      <c r="B39" s="125">
        <v>694</v>
      </c>
      <c r="C39" s="118" t="s">
        <v>64</v>
      </c>
      <c r="D39" s="132" t="s">
        <v>63</v>
      </c>
      <c r="E39" s="76" t="s">
        <v>25</v>
      </c>
      <c r="F39" s="77">
        <v>36161</v>
      </c>
    </row>
    <row r="40" spans="1:6" ht="16.5" customHeight="1">
      <c r="A40" s="73">
        <v>34</v>
      </c>
      <c r="B40" s="125">
        <v>695</v>
      </c>
      <c r="C40" s="118" t="s">
        <v>65</v>
      </c>
      <c r="D40" s="132" t="s">
        <v>63</v>
      </c>
      <c r="E40" s="76" t="s">
        <v>25</v>
      </c>
      <c r="F40" s="77">
        <v>36661</v>
      </c>
    </row>
    <row r="41" spans="1:6" ht="16.5" customHeight="1" thickBot="1">
      <c r="A41" s="73">
        <v>35</v>
      </c>
      <c r="B41" s="126">
        <v>696</v>
      </c>
      <c r="C41" s="120" t="s">
        <v>126</v>
      </c>
      <c r="D41" s="133" t="s">
        <v>63</v>
      </c>
      <c r="E41" s="80" t="s">
        <v>25</v>
      </c>
      <c r="F41" s="81">
        <v>36688</v>
      </c>
    </row>
    <row r="42" spans="1:6" ht="16.5" customHeight="1">
      <c r="A42" s="73">
        <v>36</v>
      </c>
      <c r="B42" s="127">
        <v>697</v>
      </c>
      <c r="C42" s="122" t="s">
        <v>70</v>
      </c>
      <c r="D42" s="131" t="s">
        <v>67</v>
      </c>
      <c r="E42" s="83" t="s">
        <v>25</v>
      </c>
      <c r="F42" s="84">
        <v>36161</v>
      </c>
    </row>
    <row r="43" spans="1:6" ht="16.5" customHeight="1">
      <c r="A43" s="73">
        <v>37</v>
      </c>
      <c r="B43" s="125">
        <v>698</v>
      </c>
      <c r="C43" s="75" t="s">
        <v>129</v>
      </c>
      <c r="D43" s="132" t="s">
        <v>67</v>
      </c>
      <c r="E43" s="76" t="s">
        <v>25</v>
      </c>
      <c r="F43" s="77">
        <v>36892</v>
      </c>
    </row>
    <row r="44" spans="1:6" ht="16.5" customHeight="1">
      <c r="A44" s="73">
        <v>38</v>
      </c>
      <c r="B44" s="125">
        <v>699</v>
      </c>
      <c r="C44" s="75" t="s">
        <v>135</v>
      </c>
      <c r="D44" s="132" t="s">
        <v>67</v>
      </c>
      <c r="E44" s="76" t="s">
        <v>25</v>
      </c>
      <c r="F44" s="77">
        <v>36892</v>
      </c>
    </row>
    <row r="45" spans="1:6" ht="16.5" customHeight="1" thickBot="1">
      <c r="A45" s="73">
        <v>39</v>
      </c>
      <c r="B45" s="126">
        <v>700</v>
      </c>
      <c r="C45" s="79" t="s">
        <v>136</v>
      </c>
      <c r="D45" s="133" t="s">
        <v>67</v>
      </c>
      <c r="E45" s="80" t="s">
        <v>25</v>
      </c>
      <c r="F45" s="81">
        <v>36892</v>
      </c>
    </row>
    <row r="46" spans="1:6" ht="16.5" customHeight="1">
      <c r="A46" s="73">
        <v>40</v>
      </c>
      <c r="B46" s="127">
        <v>713</v>
      </c>
      <c r="C46" s="82" t="s">
        <v>71</v>
      </c>
      <c r="D46" s="131" t="s">
        <v>69</v>
      </c>
      <c r="E46" s="83" t="s">
        <v>25</v>
      </c>
      <c r="F46" s="84">
        <v>36892</v>
      </c>
    </row>
    <row r="47" spans="1:6" ht="16.5" customHeight="1">
      <c r="A47" s="73">
        <v>41</v>
      </c>
      <c r="B47" s="125">
        <v>714</v>
      </c>
      <c r="C47" s="75" t="s">
        <v>72</v>
      </c>
      <c r="D47" s="132" t="s">
        <v>69</v>
      </c>
      <c r="E47" s="76" t="s">
        <v>25</v>
      </c>
      <c r="F47" s="77">
        <v>36161</v>
      </c>
    </row>
    <row r="48" spans="1:6" ht="16.5" customHeight="1">
      <c r="A48" s="73">
        <v>42</v>
      </c>
      <c r="B48" s="125">
        <v>715</v>
      </c>
      <c r="C48" s="75" t="s">
        <v>73</v>
      </c>
      <c r="D48" s="132" t="s">
        <v>69</v>
      </c>
      <c r="E48" s="76" t="s">
        <v>25</v>
      </c>
      <c r="F48" s="77">
        <v>36892</v>
      </c>
    </row>
    <row r="49" spans="1:6" ht="16.5" customHeight="1" thickBot="1">
      <c r="A49" s="73">
        <v>43</v>
      </c>
      <c r="B49" s="126">
        <v>716</v>
      </c>
      <c r="C49" s="79" t="s">
        <v>68</v>
      </c>
      <c r="D49" s="133" t="s">
        <v>69</v>
      </c>
      <c r="E49" s="80" t="s">
        <v>25</v>
      </c>
      <c r="F49" s="81">
        <v>36526</v>
      </c>
    </row>
    <row r="50" spans="1:6" ht="16.5" customHeight="1">
      <c r="A50" s="73">
        <v>44</v>
      </c>
      <c r="B50" s="127">
        <v>717</v>
      </c>
      <c r="C50" s="82" t="s">
        <v>75</v>
      </c>
      <c r="D50" s="131" t="s">
        <v>76</v>
      </c>
      <c r="E50" s="83" t="s">
        <v>25</v>
      </c>
      <c r="F50" s="84">
        <v>36161</v>
      </c>
    </row>
    <row r="51" spans="1:6" ht="16.5" customHeight="1">
      <c r="A51" s="73">
        <v>45</v>
      </c>
      <c r="B51" s="125">
        <v>718</v>
      </c>
      <c r="C51" s="75" t="s">
        <v>77</v>
      </c>
      <c r="D51" s="132" t="s">
        <v>76</v>
      </c>
      <c r="E51" s="76" t="s">
        <v>25</v>
      </c>
      <c r="F51" s="77">
        <v>36526</v>
      </c>
    </row>
    <row r="52" spans="1:6" ht="16.5" customHeight="1">
      <c r="A52" s="73">
        <v>46</v>
      </c>
      <c r="B52" s="125">
        <v>719</v>
      </c>
      <c r="C52" s="75" t="s">
        <v>78</v>
      </c>
      <c r="D52" s="132" t="s">
        <v>76</v>
      </c>
      <c r="E52" s="76" t="s">
        <v>25</v>
      </c>
      <c r="F52" s="77">
        <v>36526</v>
      </c>
    </row>
    <row r="53" spans="1:6" ht="16.5" customHeight="1" thickBot="1">
      <c r="A53" s="73">
        <v>47</v>
      </c>
      <c r="B53" s="126">
        <v>720</v>
      </c>
      <c r="C53" s="79" t="s">
        <v>105</v>
      </c>
      <c r="D53" s="133" t="s">
        <v>76</v>
      </c>
      <c r="E53" s="80" t="s">
        <v>25</v>
      </c>
      <c r="F53" s="81">
        <v>37201</v>
      </c>
    </row>
    <row r="54" spans="1:6" ht="16.5" customHeight="1">
      <c r="A54" s="73">
        <v>48</v>
      </c>
      <c r="B54" s="127">
        <v>721</v>
      </c>
      <c r="C54" s="82" t="s">
        <v>125</v>
      </c>
      <c r="D54" s="131" t="s">
        <v>79</v>
      </c>
      <c r="E54" s="83" t="s">
        <v>25</v>
      </c>
      <c r="F54" s="84">
        <v>36495</v>
      </c>
    </row>
    <row r="55" spans="1:6" ht="16.5" customHeight="1">
      <c r="A55" s="73">
        <v>49</v>
      </c>
      <c r="B55" s="125">
        <v>722</v>
      </c>
      <c r="C55" s="75" t="s">
        <v>80</v>
      </c>
      <c r="D55" s="132" t="s">
        <v>79</v>
      </c>
      <c r="E55" s="76" t="s">
        <v>25</v>
      </c>
      <c r="F55" s="77">
        <v>36831</v>
      </c>
    </row>
    <row r="56" spans="1:6" ht="16.5" customHeight="1">
      <c r="A56" s="73">
        <v>50</v>
      </c>
      <c r="B56" s="125">
        <v>723</v>
      </c>
      <c r="C56" s="75" t="s">
        <v>81</v>
      </c>
      <c r="D56" s="132" t="s">
        <v>79</v>
      </c>
      <c r="E56" s="76" t="s">
        <v>25</v>
      </c>
      <c r="F56" s="77">
        <v>36842</v>
      </c>
    </row>
    <row r="57" spans="1:6" ht="16.5" customHeight="1" thickBot="1">
      <c r="A57" s="73">
        <v>51</v>
      </c>
      <c r="B57" s="126">
        <v>724</v>
      </c>
      <c r="C57" s="79" t="s">
        <v>82</v>
      </c>
      <c r="D57" s="133" t="s">
        <v>79</v>
      </c>
      <c r="E57" s="80" t="s">
        <v>25</v>
      </c>
      <c r="F57" s="81">
        <v>36648</v>
      </c>
    </row>
    <row r="58" spans="1:6" ht="16.5" customHeight="1">
      <c r="A58" s="73">
        <v>52</v>
      </c>
      <c r="B58" s="127">
        <v>737</v>
      </c>
      <c r="C58" s="82" t="s">
        <v>86</v>
      </c>
      <c r="D58" s="131" t="s">
        <v>87</v>
      </c>
      <c r="E58" s="83" t="s">
        <v>25</v>
      </c>
      <c r="F58" s="84">
        <v>37115</v>
      </c>
    </row>
    <row r="59" spans="1:6" ht="16.5" customHeight="1">
      <c r="A59" s="73">
        <v>53</v>
      </c>
      <c r="B59" s="125">
        <v>738</v>
      </c>
      <c r="C59" s="75" t="s">
        <v>88</v>
      </c>
      <c r="D59" s="132" t="s">
        <v>87</v>
      </c>
      <c r="E59" s="76" t="s">
        <v>25</v>
      </c>
      <c r="F59" s="77">
        <v>36240</v>
      </c>
    </row>
    <row r="60" spans="1:6" ht="16.5" customHeight="1">
      <c r="A60" s="73">
        <v>54</v>
      </c>
      <c r="B60" s="125">
        <v>739</v>
      </c>
      <c r="C60" s="75" t="s">
        <v>89</v>
      </c>
      <c r="D60" s="132" t="s">
        <v>87</v>
      </c>
      <c r="E60" s="76" t="s">
        <v>25</v>
      </c>
      <c r="F60" s="77">
        <v>36467</v>
      </c>
    </row>
    <row r="61" spans="1:6" ht="16.5" customHeight="1" thickBot="1">
      <c r="A61" s="73">
        <v>55</v>
      </c>
      <c r="B61" s="126">
        <v>740</v>
      </c>
      <c r="C61" s="79" t="s">
        <v>90</v>
      </c>
      <c r="D61" s="133" t="s">
        <v>87</v>
      </c>
      <c r="E61" s="80" t="s">
        <v>25</v>
      </c>
      <c r="F61" s="81">
        <v>36747</v>
      </c>
    </row>
    <row r="62" spans="1:6" ht="16.5" customHeight="1">
      <c r="A62" s="73">
        <v>56</v>
      </c>
      <c r="B62" s="127">
        <v>741</v>
      </c>
      <c r="C62" s="82" t="s">
        <v>91</v>
      </c>
      <c r="D62" s="130" t="s">
        <v>92</v>
      </c>
      <c r="E62" s="83" t="s">
        <v>25</v>
      </c>
      <c r="F62" s="84">
        <v>36526</v>
      </c>
    </row>
    <row r="63" spans="1:6" ht="16.5" customHeight="1">
      <c r="A63" s="73">
        <v>57</v>
      </c>
      <c r="B63" s="125">
        <v>742</v>
      </c>
      <c r="C63" s="75" t="s">
        <v>93</v>
      </c>
      <c r="D63" s="128" t="s">
        <v>92</v>
      </c>
      <c r="E63" s="76" t="s">
        <v>25</v>
      </c>
      <c r="F63" s="77">
        <v>36892</v>
      </c>
    </row>
    <row r="64" spans="1:6" ht="16.5" customHeight="1">
      <c r="A64" s="73">
        <v>58</v>
      </c>
      <c r="B64" s="125">
        <v>743</v>
      </c>
      <c r="C64" s="75" t="s">
        <v>94</v>
      </c>
      <c r="D64" s="128" t="s">
        <v>92</v>
      </c>
      <c r="E64" s="76" t="s">
        <v>25</v>
      </c>
      <c r="F64" s="77">
        <v>36892</v>
      </c>
    </row>
    <row r="65" spans="1:6" ht="16.5" customHeight="1" thickBot="1">
      <c r="A65" s="73">
        <v>59</v>
      </c>
      <c r="B65" s="126">
        <v>744</v>
      </c>
      <c r="C65" s="79" t="s">
        <v>95</v>
      </c>
      <c r="D65" s="129" t="s">
        <v>92</v>
      </c>
      <c r="E65" s="80" t="s">
        <v>25</v>
      </c>
      <c r="F65" s="81">
        <v>36892</v>
      </c>
    </row>
    <row r="66" spans="1:6" ht="16.5" customHeight="1">
      <c r="A66" s="73">
        <v>60</v>
      </c>
      <c r="B66" s="127">
        <v>745</v>
      </c>
      <c r="C66" s="82" t="s">
        <v>96</v>
      </c>
      <c r="D66" s="130" t="s">
        <v>97</v>
      </c>
      <c r="E66" s="83" t="s">
        <v>25</v>
      </c>
      <c r="F66" s="84">
        <v>36360</v>
      </c>
    </row>
    <row r="67" spans="1:6" ht="16.5" customHeight="1">
      <c r="A67" s="73">
        <v>61</v>
      </c>
      <c r="B67" s="125">
        <v>746</v>
      </c>
      <c r="C67" s="75" t="s">
        <v>98</v>
      </c>
      <c r="D67" s="128" t="s">
        <v>97</v>
      </c>
      <c r="E67" s="76" t="s">
        <v>25</v>
      </c>
      <c r="F67" s="77">
        <v>36595</v>
      </c>
    </row>
    <row r="68" spans="1:6" ht="16.5" customHeight="1">
      <c r="A68" s="73">
        <v>62</v>
      </c>
      <c r="B68" s="125">
        <v>747</v>
      </c>
      <c r="C68" s="75" t="s">
        <v>123</v>
      </c>
      <c r="D68" s="128" t="s">
        <v>97</v>
      </c>
      <c r="E68" s="76" t="s">
        <v>25</v>
      </c>
      <c r="F68" s="77">
        <v>36241</v>
      </c>
    </row>
    <row r="69" spans="1:6" ht="16.5" customHeight="1" thickBot="1">
      <c r="A69" s="73">
        <v>63</v>
      </c>
      <c r="B69" s="126">
        <v>748</v>
      </c>
      <c r="C69" s="79" t="s">
        <v>99</v>
      </c>
      <c r="D69" s="129" t="s">
        <v>97</v>
      </c>
      <c r="E69" s="80" t="s">
        <v>25</v>
      </c>
      <c r="F69" s="81">
        <v>37032</v>
      </c>
    </row>
    <row r="70" spans="1:6" ht="16.5" customHeight="1">
      <c r="A70" s="73">
        <v>64</v>
      </c>
      <c r="B70" s="127">
        <v>749</v>
      </c>
      <c r="C70" s="82" t="s">
        <v>100</v>
      </c>
      <c r="D70" s="130" t="s">
        <v>101</v>
      </c>
      <c r="E70" s="83" t="s">
        <v>25</v>
      </c>
      <c r="F70" s="84">
        <v>37064</v>
      </c>
    </row>
    <row r="71" spans="1:6" ht="16.5" customHeight="1">
      <c r="A71" s="73">
        <v>65</v>
      </c>
      <c r="B71" s="125">
        <v>750</v>
      </c>
      <c r="C71" s="75" t="s">
        <v>102</v>
      </c>
      <c r="D71" s="128" t="s">
        <v>101</v>
      </c>
      <c r="E71" s="76" t="s">
        <v>25</v>
      </c>
      <c r="F71" s="77">
        <v>36526</v>
      </c>
    </row>
    <row r="72" spans="1:6" ht="16.5" customHeight="1">
      <c r="A72" s="73">
        <v>66</v>
      </c>
      <c r="B72" s="125">
        <v>751</v>
      </c>
      <c r="C72" s="75" t="s">
        <v>103</v>
      </c>
      <c r="D72" s="128" t="s">
        <v>101</v>
      </c>
      <c r="E72" s="76" t="s">
        <v>25</v>
      </c>
      <c r="F72" s="77">
        <v>37066</v>
      </c>
    </row>
    <row r="73" spans="1:6" ht="16.5" customHeight="1" thickBot="1">
      <c r="A73" s="73">
        <v>67</v>
      </c>
      <c r="B73" s="126">
        <v>752</v>
      </c>
      <c r="C73" s="79" t="s">
        <v>104</v>
      </c>
      <c r="D73" s="129" t="s">
        <v>101</v>
      </c>
      <c r="E73" s="80" t="s">
        <v>25</v>
      </c>
      <c r="F73" s="81">
        <v>36405</v>
      </c>
    </row>
    <row r="74" spans="1:6" ht="16.5" customHeight="1">
      <c r="A74" s="73">
        <v>68</v>
      </c>
      <c r="B74" s="127">
        <v>804</v>
      </c>
      <c r="C74" s="122" t="s">
        <v>118</v>
      </c>
      <c r="D74" s="130" t="s">
        <v>119</v>
      </c>
      <c r="E74" s="83" t="s">
        <v>25</v>
      </c>
      <c r="F74" s="84">
        <v>36892</v>
      </c>
    </row>
    <row r="75" spans="1:6" ht="16.5" customHeight="1">
      <c r="A75" s="73">
        <v>69</v>
      </c>
      <c r="B75" s="125">
        <v>805</v>
      </c>
      <c r="C75" s="118" t="s">
        <v>120</v>
      </c>
      <c r="D75" s="128" t="s">
        <v>119</v>
      </c>
      <c r="E75" s="76" t="s">
        <v>25</v>
      </c>
      <c r="F75" s="77">
        <v>36526</v>
      </c>
    </row>
    <row r="76" spans="1:6" ht="16.5" customHeight="1">
      <c r="A76" s="73">
        <v>70</v>
      </c>
      <c r="B76" s="125">
        <v>806</v>
      </c>
      <c r="C76" s="118" t="s">
        <v>121</v>
      </c>
      <c r="D76" s="128" t="s">
        <v>119</v>
      </c>
      <c r="E76" s="76" t="s">
        <v>25</v>
      </c>
      <c r="F76" s="77">
        <v>36161</v>
      </c>
    </row>
    <row r="77" spans="1:6" ht="16.5" customHeight="1" thickBot="1">
      <c r="A77" s="73">
        <v>71</v>
      </c>
      <c r="B77" s="126">
        <v>807</v>
      </c>
      <c r="C77" s="120" t="s">
        <v>122</v>
      </c>
      <c r="D77" s="129" t="s">
        <v>119</v>
      </c>
      <c r="E77" s="80" t="s">
        <v>25</v>
      </c>
      <c r="F77" s="81">
        <v>36892</v>
      </c>
    </row>
    <row r="78" spans="1:6" ht="16.5" customHeight="1">
      <c r="A78" s="73">
        <v>72</v>
      </c>
      <c r="B78" s="127">
        <v>753</v>
      </c>
      <c r="C78" s="122" t="s">
        <v>131</v>
      </c>
      <c r="D78" s="130" t="s">
        <v>132</v>
      </c>
      <c r="E78" s="83" t="s">
        <v>106</v>
      </c>
      <c r="F78" s="84" t="s">
        <v>48</v>
      </c>
    </row>
    <row r="79" spans="1:6" ht="16.5" customHeight="1">
      <c r="A79" s="73">
        <v>73</v>
      </c>
      <c r="B79" s="125">
        <v>754</v>
      </c>
      <c r="C79" s="118" t="s">
        <v>113</v>
      </c>
      <c r="D79" s="128" t="s">
        <v>76</v>
      </c>
      <c r="E79" s="76" t="s">
        <v>106</v>
      </c>
      <c r="F79" s="77" t="s">
        <v>48</v>
      </c>
    </row>
    <row r="80" spans="1:6" ht="16.5" customHeight="1">
      <c r="A80" s="73">
        <v>74</v>
      </c>
      <c r="B80" s="125">
        <v>755</v>
      </c>
      <c r="C80" s="118" t="s">
        <v>107</v>
      </c>
      <c r="D80" s="128" t="s">
        <v>76</v>
      </c>
      <c r="E80" s="76" t="s">
        <v>106</v>
      </c>
      <c r="F80" s="77">
        <v>36892</v>
      </c>
    </row>
    <row r="81" spans="1:6" ht="16.5" customHeight="1">
      <c r="A81" s="73">
        <v>75</v>
      </c>
      <c r="B81" s="127">
        <v>757</v>
      </c>
      <c r="C81" s="122" t="s">
        <v>109</v>
      </c>
      <c r="D81" s="130" t="s">
        <v>67</v>
      </c>
      <c r="E81" s="83" t="s">
        <v>106</v>
      </c>
      <c r="F81" s="84">
        <v>36892</v>
      </c>
    </row>
    <row r="82" spans="1:6" ht="16.5" customHeight="1">
      <c r="A82" s="73">
        <v>76</v>
      </c>
      <c r="B82" s="125">
        <v>759</v>
      </c>
      <c r="C82" s="118" t="s">
        <v>110</v>
      </c>
      <c r="D82" s="128" t="s">
        <v>111</v>
      </c>
      <c r="E82" s="76" t="s">
        <v>106</v>
      </c>
      <c r="F82" s="77">
        <v>36563</v>
      </c>
    </row>
    <row r="83" spans="1:6" ht="16.5" customHeight="1" thickBot="1">
      <c r="A83" s="73">
        <v>77</v>
      </c>
      <c r="B83" s="126">
        <v>760</v>
      </c>
      <c r="C83" s="120" t="s">
        <v>112</v>
      </c>
      <c r="D83" s="129" t="s">
        <v>67</v>
      </c>
      <c r="E83" s="80" t="s">
        <v>106</v>
      </c>
      <c r="F83" s="81">
        <v>36526</v>
      </c>
    </row>
    <row r="84" spans="1:6" ht="16.5" customHeight="1">
      <c r="A84" s="73">
        <v>78</v>
      </c>
      <c r="B84" s="125">
        <v>776</v>
      </c>
      <c r="C84" s="75" t="s">
        <v>66</v>
      </c>
      <c r="D84" s="128" t="s">
        <v>63</v>
      </c>
      <c r="E84" s="76" t="s">
        <v>106</v>
      </c>
      <c r="F84" s="77">
        <v>37026</v>
      </c>
    </row>
    <row r="85" spans="1:6" ht="16.5" customHeight="1" thickBot="1">
      <c r="A85" s="73">
        <v>79</v>
      </c>
      <c r="B85" s="126">
        <v>725</v>
      </c>
      <c r="C85" s="79" t="s">
        <v>83</v>
      </c>
      <c r="D85" s="129" t="s">
        <v>84</v>
      </c>
      <c r="E85" s="80" t="s">
        <v>106</v>
      </c>
      <c r="F85" s="81">
        <v>36990</v>
      </c>
    </row>
    <row r="86" spans="1:6" ht="16.5" customHeight="1">
      <c r="A86" s="73">
        <v>80</v>
      </c>
      <c r="B86" s="127">
        <v>726</v>
      </c>
      <c r="C86" s="82" t="s">
        <v>85</v>
      </c>
      <c r="D86" s="130" t="s">
        <v>84</v>
      </c>
      <c r="E86" s="83" t="s">
        <v>106</v>
      </c>
      <c r="F86" s="84">
        <v>36552</v>
      </c>
    </row>
    <row r="87" spans="1:6" ht="16.5" customHeight="1">
      <c r="A87" s="73">
        <v>81</v>
      </c>
      <c r="B87" s="125">
        <v>701</v>
      </c>
      <c r="C87" s="75" t="s">
        <v>114</v>
      </c>
      <c r="D87" s="128" t="s">
        <v>67</v>
      </c>
      <c r="E87" s="76" t="s">
        <v>106</v>
      </c>
      <c r="F87" s="77">
        <v>36526</v>
      </c>
    </row>
    <row r="88" spans="1:6" ht="16.5" customHeight="1">
      <c r="A88" s="73">
        <v>82</v>
      </c>
      <c r="B88" s="125">
        <v>702</v>
      </c>
      <c r="C88" s="75" t="s">
        <v>115</v>
      </c>
      <c r="D88" s="128" t="s">
        <v>67</v>
      </c>
      <c r="E88" s="76" t="s">
        <v>106</v>
      </c>
      <c r="F88" s="77">
        <v>36892</v>
      </c>
    </row>
    <row r="89" spans="1:6" ht="16.5" customHeight="1" thickBot="1">
      <c r="A89" s="73">
        <v>83</v>
      </c>
      <c r="B89" s="126">
        <v>703</v>
      </c>
      <c r="C89" s="79" t="s">
        <v>116</v>
      </c>
      <c r="D89" s="129" t="s">
        <v>67</v>
      </c>
      <c r="E89" s="80" t="s">
        <v>106</v>
      </c>
      <c r="F89" s="81">
        <v>36892</v>
      </c>
    </row>
    <row r="90" spans="1:6" ht="16.5" customHeight="1">
      <c r="A90" s="73">
        <v>84</v>
      </c>
      <c r="B90" s="127">
        <v>762</v>
      </c>
      <c r="C90" s="82" t="s">
        <v>117</v>
      </c>
      <c r="D90" s="130" t="s">
        <v>67</v>
      </c>
      <c r="E90" s="83" t="s">
        <v>106</v>
      </c>
      <c r="F90" s="84">
        <v>36526</v>
      </c>
    </row>
    <row r="91" spans="1:6" ht="16.5" customHeight="1">
      <c r="A91" s="73">
        <v>85</v>
      </c>
      <c r="B91" s="125">
        <v>709</v>
      </c>
      <c r="C91" s="75" t="s">
        <v>108</v>
      </c>
      <c r="D91" s="128" t="s">
        <v>67</v>
      </c>
      <c r="E91" s="76" t="s">
        <v>106</v>
      </c>
      <c r="F91" s="77">
        <v>36526</v>
      </c>
    </row>
    <row r="92" spans="1:6" ht="16.5" customHeight="1">
      <c r="A92" s="73">
        <v>86</v>
      </c>
      <c r="B92" s="125">
        <v>710</v>
      </c>
      <c r="C92" s="75" t="s">
        <v>127</v>
      </c>
      <c r="D92" s="128" t="s">
        <v>67</v>
      </c>
      <c r="E92" s="76" t="s">
        <v>106</v>
      </c>
      <c r="F92" s="77">
        <v>36892</v>
      </c>
    </row>
    <row r="93" spans="1:6" ht="16.5" customHeight="1" thickBot="1">
      <c r="A93" s="73">
        <v>87</v>
      </c>
      <c r="B93" s="126">
        <v>711</v>
      </c>
      <c r="C93" s="79" t="s">
        <v>128</v>
      </c>
      <c r="D93" s="129" t="s">
        <v>67</v>
      </c>
      <c r="E93" s="80" t="s">
        <v>106</v>
      </c>
      <c r="F93" s="81">
        <v>36892</v>
      </c>
    </row>
    <row r="94" spans="1:6" ht="16.5" customHeight="1">
      <c r="A94" s="73">
        <v>88</v>
      </c>
      <c r="B94" s="127">
        <v>758</v>
      </c>
      <c r="C94" s="82" t="s">
        <v>74</v>
      </c>
      <c r="D94" s="130" t="s">
        <v>67</v>
      </c>
      <c r="E94" s="83" t="s">
        <v>106</v>
      </c>
      <c r="F94" s="84">
        <v>36892</v>
      </c>
    </row>
    <row r="95" spans="1:6" ht="16.5" customHeight="1">
      <c r="A95" s="73"/>
      <c r="B95" s="74"/>
      <c r="C95" s="75"/>
      <c r="D95" s="75"/>
      <c r="E95" s="76"/>
      <c r="F95" s="77"/>
    </row>
    <row r="96" spans="1:6" ht="16.5" customHeight="1">
      <c r="A96" s="73"/>
      <c r="B96" s="74"/>
      <c r="C96" s="75"/>
      <c r="D96" s="75"/>
      <c r="E96" s="76"/>
      <c r="F96" s="77"/>
    </row>
    <row r="97" spans="1:6" ht="16.5" customHeight="1" thickBot="1">
      <c r="A97" s="73"/>
      <c r="B97" s="78"/>
      <c r="C97" s="79"/>
      <c r="D97" s="79"/>
      <c r="E97" s="80"/>
      <c r="F97" s="81"/>
    </row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sheetProtection/>
  <autoFilter ref="A5:F94"/>
  <mergeCells count="5">
    <mergeCell ref="A4:C4"/>
    <mergeCell ref="A1:F1"/>
    <mergeCell ref="A2:F2"/>
    <mergeCell ref="A3:F3"/>
    <mergeCell ref="E4:F4"/>
  </mergeCells>
  <conditionalFormatting sqref="F6:F97">
    <cfRule type="cellIs" priority="1" dxfId="12" operator="between" stopIfTrue="1">
      <formula>36161</formula>
      <formula>37256</formula>
    </cfRule>
  </conditionalFormatting>
  <conditionalFormatting sqref="B6:B97">
    <cfRule type="duplicateValues" priority="227" dxfId="13" stopIfTrue="1">
      <formula>AND(COUNTIF($B$6:$B$97,B6)&gt;1,NOT(ISBLANK(B6)))</formula>
    </cfRule>
  </conditionalFormatting>
  <conditionalFormatting sqref="C6:C97">
    <cfRule type="duplicateValues" priority="228" dxfId="13" stopIfTrue="1">
      <formula>AND(COUNTIF($C$6:$C$97,C6)&gt;1,NOT(ISBLANK(C6)))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93"/>
  <sheetViews>
    <sheetView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92" customWidth="1"/>
    <col min="8" max="8" width="6.75390625" style="36" customWidth="1"/>
    <col min="9" max="16384" width="9.125" style="36" customWidth="1"/>
  </cols>
  <sheetData>
    <row r="1" spans="1:10" ht="33.75" customHeight="1">
      <c r="A1" s="171" t="str">
        <f>KAPAK!A2</f>
        <v>Türkiye Atletizm Federasyonu
TekirdağAtletizm İl Temsilciliği</v>
      </c>
      <c r="B1" s="171"/>
      <c r="C1" s="171"/>
      <c r="D1" s="171"/>
      <c r="E1" s="171"/>
      <c r="F1" s="171"/>
      <c r="G1" s="171"/>
      <c r="H1" s="171"/>
      <c r="J1" s="37"/>
    </row>
    <row r="2" spans="1:8" ht="15.75">
      <c r="A2" s="172" t="str">
        <f>KAPAK!B24</f>
        <v>Küçükler ve Yıldızlar Bölgesel Kros Ligi 1.Kademe</v>
      </c>
      <c r="B2" s="172"/>
      <c r="C2" s="172"/>
      <c r="D2" s="172"/>
      <c r="E2" s="172"/>
      <c r="F2" s="172"/>
      <c r="G2" s="172"/>
      <c r="H2" s="172"/>
    </row>
    <row r="3" spans="1:9" ht="14.25">
      <c r="A3" s="173" t="str">
        <f>KAPAK!B27</f>
        <v>Tekirdağ</v>
      </c>
      <c r="B3" s="173"/>
      <c r="C3" s="173"/>
      <c r="D3" s="173"/>
      <c r="E3" s="173"/>
      <c r="F3" s="173"/>
      <c r="G3" s="173"/>
      <c r="H3" s="173"/>
      <c r="I3" s="38"/>
    </row>
    <row r="4" spans="1:8" ht="15.75" customHeight="1">
      <c r="A4" s="170" t="str">
        <f>KAPAK!B26</f>
        <v>Küçük Kızlar</v>
      </c>
      <c r="B4" s="170"/>
      <c r="C4" s="170"/>
      <c r="D4" s="51" t="str">
        <f>KAPAK!B25</f>
        <v>1500 Metre</v>
      </c>
      <c r="E4" s="52"/>
      <c r="F4" s="174">
        <f>KAPAK!B28</f>
        <v>41672.416666666664</v>
      </c>
      <c r="G4" s="174"/>
      <c r="H4" s="174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18</v>
      </c>
      <c r="E5" s="40" t="s">
        <v>8</v>
      </c>
      <c r="F5" s="41" t="s">
        <v>2</v>
      </c>
      <c r="G5" s="91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715</v>
      </c>
      <c r="C6" s="46" t="str">
        <f>IF(ISERROR(VLOOKUP(B6,'START LİSTE'!$B$6:$F$1053,2,0)),"",VLOOKUP(B6,'START LİSTE'!$B$6:$F$1053,2,0))</f>
        <v>ZEHRA ERHAN</v>
      </c>
      <c r="D6" s="46" t="str">
        <f>IF(ISERROR(VLOOKUP(B6,'START LİSTE'!$B$6:$F$1053,3,0)),"",VLOOKUP(B6,'START LİSTE'!$B$6:$F$1053,3,0))</f>
        <v>İSTANBUL-PENDİK BELEDİYE SPOR</v>
      </c>
      <c r="E6" s="47" t="str">
        <f>IF(ISERROR(VLOOKUP(B6,'START LİSTE'!$B$6:$F$1053,4,0)),"",VLOOKUP(B6,'START LİSTE'!$B$6:$F$1053,4,0))</f>
        <v>T</v>
      </c>
      <c r="F6" s="48">
        <f>IF(ISERROR(VLOOKUP($B6,'START LİSTE'!$B$6:$F$1053,5,0)),"",VLOOKUP($B6,'START LİSTE'!$B$6:$F$1053,5,0))</f>
        <v>36892</v>
      </c>
      <c r="G6" s="146">
        <v>501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713</v>
      </c>
      <c r="C7" s="46" t="str">
        <f>IF(ISERROR(VLOOKUP(B7,'START LİSTE'!$B$6:$F$1053,2,0)),"",VLOOKUP(B7,'START LİSTE'!$B$6:$F$1053,2,0))</f>
        <v>EZGİ KAYA</v>
      </c>
      <c r="D7" s="46" t="str">
        <f>IF(ISERROR(VLOOKUP(B7,'START LİSTE'!$B$6:$F$1053,3,0)),"",VLOOKUP(B7,'START LİSTE'!$B$6:$F$1053,3,0))</f>
        <v>İSTANBUL-PENDİK BELEDİYE SPOR</v>
      </c>
      <c r="E7" s="47" t="str">
        <f>IF(ISERROR(VLOOKUP(B7,'START LİSTE'!$B$6:$F$1053,4,0)),"",VLOOKUP(B7,'START LİSTE'!$B$6:$F$1053,4,0))</f>
        <v>T</v>
      </c>
      <c r="F7" s="48">
        <f>IF(ISERROR(VLOOKUP($B7,'START LİSTE'!$B$6:$F$1053,5,0)),"",VLOOKUP($B7,'START LİSTE'!$B$6:$F$1053,5,0))</f>
        <v>36892</v>
      </c>
      <c r="G7" s="146">
        <v>502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665</v>
      </c>
      <c r="C8" s="46" t="str">
        <f>IF(ISERROR(VLOOKUP(B8,'START LİSTE'!$B$6:$F$1053,2,0)),"",VLOOKUP(B8,'START LİSTE'!$B$6:$F$1053,2,0))</f>
        <v>MERVE KAPLAN</v>
      </c>
      <c r="D8" s="46" t="str">
        <f>IF(ISERROR(VLOOKUP(B8,'START LİSTE'!$B$6:$F$1053,3,0)),"",VLOOKUP(B8,'START LİSTE'!$B$6:$F$1053,3,0))</f>
        <v>BURSA-BÜYÜKŞEHİR BEL.SPOR</v>
      </c>
      <c r="E8" s="47" t="str">
        <f>IF(ISERROR(VLOOKUP(B8,'START LİSTE'!$B$6:$F$1053,4,0)),"",VLOOKUP(B8,'START LİSTE'!$B$6:$F$1053,4,0))</f>
        <v>T</v>
      </c>
      <c r="F8" s="48">
        <f>IF(ISERROR(VLOOKUP($B8,'START LİSTE'!$B$6:$F$1053,5,0)),"",VLOOKUP($B8,'START LİSTE'!$B$6:$F$1053,5,0))</f>
        <v>36850</v>
      </c>
      <c r="G8" s="146">
        <v>502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666</v>
      </c>
      <c r="C9" s="46" t="str">
        <f>IF(ISERROR(VLOOKUP(B9,'START LİSTE'!$B$6:$F$1053,2,0)),"",VLOOKUP(B9,'START LİSTE'!$B$6:$F$1053,2,0))</f>
        <v>LEYLA YANARDAĞ</v>
      </c>
      <c r="D9" s="46" t="str">
        <f>IF(ISERROR(VLOOKUP(B9,'START LİSTE'!$B$6:$F$1053,3,0)),"",VLOOKUP(B9,'START LİSTE'!$B$6:$F$1053,3,0))</f>
        <v>BURSA-BÜYÜKŞEHİR BEL.SPOR</v>
      </c>
      <c r="E9" s="47" t="str">
        <f>IF(ISERROR(VLOOKUP(B9,'START LİSTE'!$B$6:$F$1053,4,0)),"",VLOOKUP(B9,'START LİSTE'!$B$6:$F$1053,4,0))</f>
        <v>T</v>
      </c>
      <c r="F9" s="48">
        <f>IF(ISERROR(VLOOKUP($B9,'START LİSTE'!$B$6:$F$1053,5,0)),"",VLOOKUP($B9,'START LİSTE'!$B$6:$F$1053,5,0))</f>
        <v>36526</v>
      </c>
      <c r="G9" s="146">
        <v>505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741</v>
      </c>
      <c r="C10" s="46" t="str">
        <f>IF(ISERROR(VLOOKUP(B10,'START LİSTE'!$B$6:$F$1053,2,0)),"",VLOOKUP(B10,'START LİSTE'!$B$6:$F$1053,2,0))</f>
        <v>ÖZGENUR KARASU</v>
      </c>
      <c r="D10" s="46" t="str">
        <f>IF(ISERROR(VLOOKUP(B10,'START LİSTE'!$B$6:$F$1053,3,0)),"",VLOOKUP(B10,'START LİSTE'!$B$6:$F$1053,3,0))</f>
        <v>SAKARYA GENÇLİK HİZMETL..</v>
      </c>
      <c r="E10" s="47" t="str">
        <f>IF(ISERROR(VLOOKUP(B10,'START LİSTE'!$B$6:$F$1053,4,0)),"",VLOOKUP(B10,'START LİSTE'!$B$6:$F$1053,4,0))</f>
        <v>T</v>
      </c>
      <c r="F10" s="48">
        <f>IF(ISERROR(VLOOKUP($B10,'START LİSTE'!$B$6:$F$1053,5,0)),"",VLOOKUP($B10,'START LİSTE'!$B$6:$F$1053,5,0))</f>
        <v>36526</v>
      </c>
      <c r="G10" s="146">
        <v>506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717</v>
      </c>
      <c r="C11" s="46" t="str">
        <f>IF(ISERROR(VLOOKUP(B11,'START LİSTE'!$B$6:$F$1053,2,0)),"",VLOOKUP(B11,'START LİSTE'!$B$6:$F$1053,2,0))</f>
        <v>ESENGÜL KILINÇ                                             </v>
      </c>
      <c r="D11" s="46" t="str">
        <f>IF(ISERROR(VLOOKUP(B11,'START LİSTE'!$B$6:$F$1053,3,0)),"",VLOOKUP(B11,'START LİSTE'!$B$6:$F$1053,3,0))</f>
        <v>İSTANBUL-ÜSKÜDAR SPOR KULÜBÜ</v>
      </c>
      <c r="E11" s="47" t="str">
        <f>IF(ISERROR(VLOOKUP(B11,'START LİSTE'!$B$6:$F$1053,4,0)),"",VLOOKUP(B11,'START LİSTE'!$B$6:$F$1053,4,0))</f>
        <v>T</v>
      </c>
      <c r="F11" s="48">
        <f>IF(ISERROR(VLOOKUP($B11,'START LİSTE'!$B$6:$F$1053,5,0)),"",VLOOKUP($B11,'START LİSTE'!$B$6:$F$1053,5,0))</f>
        <v>36161</v>
      </c>
      <c r="G11" s="146">
        <v>507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671</v>
      </c>
      <c r="C12" s="46" t="str">
        <f>IF(ISERROR(VLOOKUP(B12,'START LİSTE'!$B$6:$F$1053,2,0)),"",VLOOKUP(B12,'START LİSTE'!$B$6:$F$1053,2,0))</f>
        <v>GÖKÇE KARACA</v>
      </c>
      <c r="D12" s="46" t="str">
        <f>IF(ISERROR(VLOOKUP(B12,'START LİSTE'!$B$6:$F$1053,3,0)),"",VLOOKUP(B12,'START LİSTE'!$B$6:$F$1053,3,0))</f>
        <v>BURSA-OSMANGAZİ BLD.SPOR KLB.</v>
      </c>
      <c r="E12" s="47" t="str">
        <f>IF(ISERROR(VLOOKUP(B12,'START LİSTE'!$B$6:$F$1053,4,0)),"",VLOOKUP(B12,'START LİSTE'!$B$6:$F$1053,4,0))</f>
        <v>T</v>
      </c>
      <c r="F12" s="48">
        <f>IF(ISERROR(VLOOKUP($B12,'START LİSTE'!$B$6:$F$1053,5,0)),"",VLOOKUP($B12,'START LİSTE'!$B$6:$F$1053,5,0))</f>
        <v>36180</v>
      </c>
      <c r="G12" s="146">
        <v>510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742</v>
      </c>
      <c r="C13" s="46" t="str">
        <f>IF(ISERROR(VLOOKUP(B13,'START LİSTE'!$B$6:$F$1053,2,0)),"",VLOOKUP(B13,'START LİSTE'!$B$6:$F$1053,2,0))</f>
        <v>BERİVAN DEMİR</v>
      </c>
      <c r="D13" s="46" t="str">
        <f>IF(ISERROR(VLOOKUP(B13,'START LİSTE'!$B$6:$F$1053,3,0)),"",VLOOKUP(B13,'START LİSTE'!$B$6:$F$1053,3,0))</f>
        <v>SAKARYA GENÇLİK HİZMETL..</v>
      </c>
      <c r="E13" s="47" t="str">
        <f>IF(ISERROR(VLOOKUP(B13,'START LİSTE'!$B$6:$F$1053,4,0)),"",VLOOKUP(B13,'START LİSTE'!$B$6:$F$1053,4,0))</f>
        <v>T</v>
      </c>
      <c r="F13" s="48">
        <f>IF(ISERROR(VLOOKUP($B13,'START LİSTE'!$B$6:$F$1053,5,0)),"",VLOOKUP($B13,'START LİSTE'!$B$6:$F$1053,5,0))</f>
        <v>36892</v>
      </c>
      <c r="G13" s="146">
        <v>511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669</v>
      </c>
      <c r="C14" s="46" t="str">
        <f>IF(ISERROR(VLOOKUP(B14,'START LİSTE'!$B$6:$F$1053,2,0)),"",VLOOKUP(B14,'START LİSTE'!$B$6:$F$1053,2,0))</f>
        <v>ESLEM GEZEN</v>
      </c>
      <c r="D14" s="46" t="str">
        <f>IF(ISERROR(VLOOKUP(B14,'START LİSTE'!$B$6:$F$1053,3,0)),"",VLOOKUP(B14,'START LİSTE'!$B$6:$F$1053,3,0))</f>
        <v>BURSA-OSMANGAZİ BLD.SPOR KLB.</v>
      </c>
      <c r="E14" s="47" t="str">
        <f>IF(ISERROR(VLOOKUP(B14,'START LİSTE'!$B$6:$F$1053,4,0)),"",VLOOKUP(B14,'START LİSTE'!$B$6:$F$1053,4,0))</f>
        <v>T</v>
      </c>
      <c r="F14" s="48">
        <f>IF(ISERROR(VLOOKUP($B14,'START LİSTE'!$B$6:$F$1053,5,0)),"",VLOOKUP($B14,'START LİSTE'!$B$6:$F$1053,5,0))</f>
        <v>36910</v>
      </c>
      <c r="G14" s="146">
        <v>513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743</v>
      </c>
      <c r="C15" s="46" t="str">
        <f>IF(ISERROR(VLOOKUP(B15,'START LİSTE'!$B$6:$F$1053,2,0)),"",VLOOKUP(B15,'START LİSTE'!$B$6:$F$1053,2,0))</f>
        <v>SİNEM DURGUT</v>
      </c>
      <c r="D15" s="46" t="str">
        <f>IF(ISERROR(VLOOKUP(B15,'START LİSTE'!$B$6:$F$1053,3,0)),"",VLOOKUP(B15,'START LİSTE'!$B$6:$F$1053,3,0))</f>
        <v>SAKARYA GENÇLİK HİZMETL..</v>
      </c>
      <c r="E15" s="47" t="str">
        <f>IF(ISERROR(VLOOKUP(B15,'START LİSTE'!$B$6:$F$1053,4,0)),"",VLOOKUP(B15,'START LİSTE'!$B$6:$F$1053,4,0))</f>
        <v>T</v>
      </c>
      <c r="F15" s="48">
        <f>IF(ISERROR(VLOOKUP($B15,'START LİSTE'!$B$6:$F$1053,5,0)),"",VLOOKUP($B15,'START LİSTE'!$B$6:$F$1053,5,0))</f>
        <v>36892</v>
      </c>
      <c r="G15" s="146">
        <v>514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718</v>
      </c>
      <c r="C16" s="46" t="str">
        <f>IF(ISERROR(VLOOKUP(B16,'START LİSTE'!$B$6:$F$1053,2,0)),"",VLOOKUP(B16,'START LİSTE'!$B$6:$F$1053,2,0))</f>
        <v>SEVCAN ÇELİK                                                 </v>
      </c>
      <c r="D16" s="46" t="str">
        <f>IF(ISERROR(VLOOKUP(B16,'START LİSTE'!$B$6:$F$1053,3,0)),"",VLOOKUP(B16,'START LİSTE'!$B$6:$F$1053,3,0))</f>
        <v>İSTANBUL-ÜSKÜDAR SPOR KULÜBÜ</v>
      </c>
      <c r="E16" s="47" t="str">
        <f>IF(ISERROR(VLOOKUP(B16,'START LİSTE'!$B$6:$F$1053,4,0)),"",VLOOKUP(B16,'START LİSTE'!$B$6:$F$1053,4,0))</f>
        <v>T</v>
      </c>
      <c r="F16" s="48">
        <f>IF(ISERROR(VLOOKUP($B16,'START LİSTE'!$B$6:$F$1053,5,0)),"",VLOOKUP($B16,'START LİSTE'!$B$6:$F$1053,5,0))</f>
        <v>36526</v>
      </c>
      <c r="G16" s="146">
        <v>514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670</v>
      </c>
      <c r="C17" s="46" t="str">
        <f>IF(ISERROR(VLOOKUP(B17,'START LİSTE'!$B$6:$F$1053,2,0)),"",VLOOKUP(B17,'START LİSTE'!$B$6:$F$1053,2,0))</f>
        <v>AZİME ALAN</v>
      </c>
      <c r="D17" s="46" t="str">
        <f>IF(ISERROR(VLOOKUP(B17,'START LİSTE'!$B$6:$F$1053,3,0)),"",VLOOKUP(B17,'START LİSTE'!$B$6:$F$1053,3,0))</f>
        <v>BURSA-OSMANGAZİ BLD.SPOR KLB.</v>
      </c>
      <c r="E17" s="47" t="str">
        <f>IF(ISERROR(VLOOKUP(B17,'START LİSTE'!$B$6:$F$1053,4,0)),"",VLOOKUP(B17,'START LİSTE'!$B$6:$F$1053,4,0))</f>
        <v>T</v>
      </c>
      <c r="F17" s="48">
        <f>IF(ISERROR(VLOOKUP($B17,'START LİSTE'!$B$6:$F$1053,5,0)),"",VLOOKUP($B17,'START LİSTE'!$B$6:$F$1053,5,0))</f>
        <v>36526</v>
      </c>
      <c r="G17" s="146">
        <v>516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714</v>
      </c>
      <c r="C18" s="46" t="str">
        <f>IF(ISERROR(VLOOKUP(B18,'START LİSTE'!$B$6:$F$1053,2,0)),"",VLOOKUP(B18,'START LİSTE'!$B$6:$F$1053,2,0))</f>
        <v>EMİNE BAYDİLİ</v>
      </c>
      <c r="D18" s="46" t="str">
        <f>IF(ISERROR(VLOOKUP(B18,'START LİSTE'!$B$6:$F$1053,3,0)),"",VLOOKUP(B18,'START LİSTE'!$B$6:$F$1053,3,0))</f>
        <v>İSTANBUL-PENDİK BELEDİYE SPOR</v>
      </c>
      <c r="E18" s="47" t="str">
        <f>IF(ISERROR(VLOOKUP(B18,'START LİSTE'!$B$6:$F$1053,4,0)),"",VLOOKUP(B18,'START LİSTE'!$B$6:$F$1053,4,0))</f>
        <v>T</v>
      </c>
      <c r="F18" s="48">
        <f>IF(ISERROR(VLOOKUP($B18,'START LİSTE'!$B$6:$F$1053,5,0)),"",VLOOKUP($B18,'START LİSTE'!$B$6:$F$1053,5,0))</f>
        <v>36161</v>
      </c>
      <c r="G18" s="146">
        <v>516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719</v>
      </c>
      <c r="C19" s="46" t="str">
        <f>IF(ISERROR(VLOOKUP(B19,'START LİSTE'!$B$6:$F$1053,2,0)),"",VLOOKUP(B19,'START LİSTE'!$B$6:$F$1053,2,0))</f>
        <v>NURCAN ÖZ                                                       </v>
      </c>
      <c r="D19" s="46" t="str">
        <f>IF(ISERROR(VLOOKUP(B19,'START LİSTE'!$B$6:$F$1053,3,0)),"",VLOOKUP(B19,'START LİSTE'!$B$6:$F$1053,3,0))</f>
        <v>İSTANBUL-ÜSKÜDAR SPOR KULÜBÜ</v>
      </c>
      <c r="E19" s="47" t="str">
        <f>IF(ISERROR(VLOOKUP(B19,'START LİSTE'!$B$6:$F$1053,4,0)),"",VLOOKUP(B19,'START LİSTE'!$B$6:$F$1053,4,0))</f>
        <v>T</v>
      </c>
      <c r="F19" s="48">
        <f>IF(ISERROR(VLOOKUP($B19,'START LİSTE'!$B$6:$F$1053,5,0)),"",VLOOKUP($B19,'START LİSTE'!$B$6:$F$1053,5,0))</f>
        <v>36526</v>
      </c>
      <c r="G19" s="146">
        <v>517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753</v>
      </c>
      <c r="C20" s="46" t="str">
        <f>IF(ISERROR(VLOOKUP(B20,'START LİSTE'!$B$6:$F$1053,2,0)),"",VLOOKUP(B20,'START LİSTE'!$B$6:$F$1053,2,0))</f>
        <v>SONGÜL ERBELE</v>
      </c>
      <c r="D20" s="46" t="str">
        <f>IF(ISERROR(VLOOKUP(B20,'START LİSTE'!$B$6:$F$1053,3,0)),"",VLOOKUP(B20,'START LİSTE'!$B$6:$F$1053,3,0))</f>
        <v>İSTANBUL-ÜSKÜDAR BELEDİYESPOR</v>
      </c>
      <c r="E20" s="47" t="str">
        <f>IF(ISERROR(VLOOKUP(B20,'START LİSTE'!$B$6:$F$1053,4,0)),"",VLOOKUP(B20,'START LİSTE'!$B$6:$F$1053,4,0))</f>
        <v>F</v>
      </c>
      <c r="F20" s="48" t="str">
        <f>IF(ISERROR(VLOOKUP($B20,'START LİSTE'!$B$6:$F$1053,5,0)),"",VLOOKUP($B20,'START LİSTE'!$B$6:$F$1053,5,0))</f>
        <v>-</v>
      </c>
      <c r="G20" s="146">
        <v>518</v>
      </c>
      <c r="H20" s="49">
        <f t="shared" si="1"/>
        <v>14</v>
      </c>
    </row>
    <row r="21" spans="1:8" ht="18" customHeight="1">
      <c r="A21" s="44">
        <f t="shared" si="0"/>
        <v>16</v>
      </c>
      <c r="B21" s="45">
        <v>720</v>
      </c>
      <c r="C21" s="46" t="str">
        <f>IF(ISERROR(VLOOKUP(B21,'START LİSTE'!$B$6:$F$1053,2,0)),"",VLOOKUP(B21,'START LİSTE'!$B$6:$F$1053,2,0))</f>
        <v>ENİSE ÇORUMLU</v>
      </c>
      <c r="D21" s="46" t="str">
        <f>IF(ISERROR(VLOOKUP(B21,'START LİSTE'!$B$6:$F$1053,3,0)),"",VLOOKUP(B21,'START LİSTE'!$B$6:$F$1053,3,0))</f>
        <v>İSTANBUL-ÜSKÜDAR SPOR KULÜBÜ</v>
      </c>
      <c r="E21" s="47" t="str">
        <f>IF(ISERROR(VLOOKUP(B21,'START LİSTE'!$B$6:$F$1053,4,0)),"",VLOOKUP(B21,'START LİSTE'!$B$6:$F$1053,4,0))</f>
        <v>T</v>
      </c>
      <c r="F21" s="48">
        <f>IF(ISERROR(VLOOKUP($B21,'START LİSTE'!$B$6:$F$1053,5,0)),"",VLOOKUP($B21,'START LİSTE'!$B$6:$F$1053,5,0))</f>
        <v>37201</v>
      </c>
      <c r="G21" s="146">
        <v>519</v>
      </c>
      <c r="H21" s="49">
        <f t="shared" si="1"/>
        <v>15</v>
      </c>
    </row>
    <row r="22" spans="1:8" ht="18" customHeight="1">
      <c r="A22" s="44">
        <f t="shared" si="0"/>
        <v>17</v>
      </c>
      <c r="B22" s="45">
        <v>762</v>
      </c>
      <c r="C22" s="46" t="str">
        <f>IF(ISERROR(VLOOKUP(B22,'START LİSTE'!$B$6:$F$1053,2,0)),"",VLOOKUP(B22,'START LİSTE'!$B$6:$F$1053,2,0))</f>
        <v>ZEMZEM CELEP</v>
      </c>
      <c r="D22" s="46" t="str">
        <f>IF(ISERROR(VLOOKUP(B22,'START LİSTE'!$B$6:$F$1053,3,0)),"",VLOOKUP(B22,'START LİSTE'!$B$6:$F$1053,3,0))</f>
        <v>İSTANBUL-MEVLANA SPOR KULÜBÜ</v>
      </c>
      <c r="E22" s="47" t="str">
        <f>IF(ISERROR(VLOOKUP(B22,'START LİSTE'!$B$6:$F$1053,4,0)),"",VLOOKUP(B22,'START LİSTE'!$B$6:$F$1053,4,0))</f>
        <v>F</v>
      </c>
      <c r="F22" s="48">
        <f>IF(ISERROR(VLOOKUP($B22,'START LİSTE'!$B$6:$F$1053,5,0)),"",VLOOKUP($B22,'START LİSTE'!$B$6:$F$1053,5,0))</f>
        <v>36526</v>
      </c>
      <c r="G22" s="146">
        <v>520</v>
      </c>
      <c r="H22" s="49">
        <f t="shared" si="1"/>
        <v>15</v>
      </c>
    </row>
    <row r="23" spans="1:8" ht="18" customHeight="1">
      <c r="A23" s="44">
        <f t="shared" si="0"/>
        <v>18</v>
      </c>
      <c r="B23" s="45">
        <v>668</v>
      </c>
      <c r="C23" s="46" t="str">
        <f>IF(ISERROR(VLOOKUP(B23,'START LİSTE'!$B$6:$F$1053,2,0)),"",VLOOKUP(B23,'START LİSTE'!$B$6:$F$1053,2,0))</f>
        <v>HİDAYET ZEYNEP SÜMEN</v>
      </c>
      <c r="D23" s="46" t="str">
        <f>IF(ISERROR(VLOOKUP(B23,'START LİSTE'!$B$6:$F$1053,3,0)),"",VLOOKUP(B23,'START LİSTE'!$B$6:$F$1053,3,0))</f>
        <v>BURSA-BÜYÜKŞEHİR BEL.SPOR</v>
      </c>
      <c r="E23" s="47" t="str">
        <f>IF(ISERROR(VLOOKUP(B23,'START LİSTE'!$B$6:$F$1053,4,0)),"",VLOOKUP(B23,'START LİSTE'!$B$6:$F$1053,4,0))</f>
        <v>T</v>
      </c>
      <c r="F23" s="48">
        <f>IF(ISERROR(VLOOKUP($B23,'START LİSTE'!$B$6:$F$1053,5,0)),"",VLOOKUP($B23,'START LİSTE'!$B$6:$F$1053,5,0))</f>
        <v>36600</v>
      </c>
      <c r="G23" s="146">
        <v>521</v>
      </c>
      <c r="H23" s="49">
        <f t="shared" si="1"/>
        <v>16</v>
      </c>
    </row>
    <row r="24" spans="1:8" ht="18" customHeight="1">
      <c r="A24" s="44">
        <f t="shared" si="0"/>
        <v>19</v>
      </c>
      <c r="B24" s="45">
        <v>701</v>
      </c>
      <c r="C24" s="46" t="str">
        <f>IF(ISERROR(VLOOKUP(B24,'START LİSTE'!$B$6:$F$1053,2,0)),"",VLOOKUP(B24,'START LİSTE'!$B$6:$F$1053,2,0))</f>
        <v>GAMZE CANDIR</v>
      </c>
      <c r="D24" s="46" t="str">
        <f>IF(ISERROR(VLOOKUP(B24,'START LİSTE'!$B$6:$F$1053,3,0)),"",VLOOKUP(B24,'START LİSTE'!$B$6:$F$1053,3,0))</f>
        <v>İSTANBUL-MEVLANA SPOR KULÜBÜ</v>
      </c>
      <c r="E24" s="47" t="str">
        <f>IF(ISERROR(VLOOKUP(B24,'START LİSTE'!$B$6:$F$1053,4,0)),"",VLOOKUP(B24,'START LİSTE'!$B$6:$F$1053,4,0))</f>
        <v>F</v>
      </c>
      <c r="F24" s="48">
        <f>IF(ISERROR(VLOOKUP($B24,'START LİSTE'!$B$6:$F$1053,5,0)),"",VLOOKUP($B24,'START LİSTE'!$B$6:$F$1053,5,0))</f>
        <v>36526</v>
      </c>
      <c r="G24" s="146">
        <v>522</v>
      </c>
      <c r="H24" s="49">
        <f t="shared" si="1"/>
        <v>16</v>
      </c>
    </row>
    <row r="25" spans="1:8" ht="18" customHeight="1">
      <c r="A25" s="44">
        <f t="shared" si="0"/>
        <v>20</v>
      </c>
      <c r="B25" s="45">
        <v>689</v>
      </c>
      <c r="C25" s="46" t="str">
        <f>IF(ISERROR(VLOOKUP(B25,'START LİSTE'!$B$6:$F$1053,2,0)),"",VLOOKUP(B25,'START LİSTE'!$B$6:$F$1053,2,0))</f>
        <v>GAYE İŞBİLİR</v>
      </c>
      <c r="D25" s="46" t="str">
        <f>IF(ISERROR(VLOOKUP(B25,'START LİSTE'!$B$6:$F$1053,3,0)),"",VLOOKUP(B25,'START LİSTE'!$B$6:$F$1053,3,0))</f>
        <v>İSTANBUL- VELİBABA KTML GSK</v>
      </c>
      <c r="E25" s="47" t="str">
        <f>IF(ISERROR(VLOOKUP(B25,'START LİSTE'!$B$6:$F$1053,4,0)),"",VLOOKUP(B25,'START LİSTE'!$B$6:$F$1053,4,0))</f>
        <v>T</v>
      </c>
      <c r="F25" s="48">
        <f>IF(ISERROR(VLOOKUP($B25,'START LİSTE'!$B$6:$F$1053,5,0)),"",VLOOKUP($B25,'START LİSTE'!$B$6:$F$1053,5,0))</f>
        <v>36288</v>
      </c>
      <c r="G25" s="146">
        <v>524</v>
      </c>
      <c r="H25" s="49">
        <f t="shared" si="1"/>
        <v>17</v>
      </c>
    </row>
    <row r="26" spans="1:8" ht="18" customHeight="1">
      <c r="A26" s="44">
        <f t="shared" si="0"/>
        <v>21</v>
      </c>
      <c r="B26" s="45">
        <v>760</v>
      </c>
      <c r="C26" s="46" t="str">
        <f>IF(ISERROR(VLOOKUP(B26,'START LİSTE'!$B$6:$F$1053,2,0)),"",VLOOKUP(B26,'START LİSTE'!$B$6:$F$1053,2,0))</f>
        <v>YAGMUR KARA</v>
      </c>
      <c r="D26" s="46" t="str">
        <f>IF(ISERROR(VLOOKUP(B26,'START LİSTE'!$B$6:$F$1053,3,0)),"",VLOOKUP(B26,'START LİSTE'!$B$6:$F$1053,3,0))</f>
        <v>İSTANBUL-MEVLANA SPOR KULÜBÜ</v>
      </c>
      <c r="E26" s="47" t="str">
        <f>IF(ISERROR(VLOOKUP(B26,'START LİSTE'!$B$6:$F$1053,4,0)),"",VLOOKUP(B26,'START LİSTE'!$B$6:$F$1053,4,0))</f>
        <v>F</v>
      </c>
      <c r="F26" s="48">
        <f>IF(ISERROR(VLOOKUP($B26,'START LİSTE'!$B$6:$F$1053,5,0)),"",VLOOKUP($B26,'START LİSTE'!$B$6:$F$1053,5,0))</f>
        <v>36526</v>
      </c>
      <c r="G26" s="146">
        <v>525</v>
      </c>
      <c r="H26" s="49">
        <f t="shared" si="1"/>
        <v>17</v>
      </c>
    </row>
    <row r="27" spans="1:8" ht="18" customHeight="1">
      <c r="A27" s="44">
        <f t="shared" si="0"/>
        <v>22</v>
      </c>
      <c r="B27" s="45">
        <v>721</v>
      </c>
      <c r="C27" s="46" t="str">
        <f>IF(ISERROR(VLOOKUP(B27,'START LİSTE'!$B$6:$F$1053,2,0)),"",VLOOKUP(B27,'START LİSTE'!$B$6:$F$1053,2,0))</f>
        <v>ESRA YILIN</v>
      </c>
      <c r="D27" s="46" t="str">
        <f>IF(ISERROR(VLOOKUP(B27,'START LİSTE'!$B$6:$F$1053,3,0)),"",VLOOKUP(B27,'START LİSTE'!$B$6:$F$1053,3,0))</f>
        <v>KOCAELİ- BÜYÜKŞEHİR BEL.KAĞITSPOR KULÜBÜ</v>
      </c>
      <c r="E27" s="47" t="str">
        <f>IF(ISERROR(VLOOKUP(B27,'START LİSTE'!$B$6:$F$1053,4,0)),"",VLOOKUP(B27,'START LİSTE'!$B$6:$F$1053,4,0))</f>
        <v>T</v>
      </c>
      <c r="F27" s="48">
        <f>IF(ISERROR(VLOOKUP($B27,'START LİSTE'!$B$6:$F$1053,5,0)),"",VLOOKUP($B27,'START LİSTE'!$B$6:$F$1053,5,0))</f>
        <v>36495</v>
      </c>
      <c r="G27" s="146">
        <v>526</v>
      </c>
      <c r="H27" s="49">
        <f t="shared" si="1"/>
        <v>18</v>
      </c>
    </row>
    <row r="28" spans="1:8" ht="18" customHeight="1">
      <c r="A28" s="44">
        <f t="shared" si="0"/>
        <v>23</v>
      </c>
      <c r="B28" s="45">
        <v>691</v>
      </c>
      <c r="C28" s="46" t="str">
        <f>IF(ISERROR(VLOOKUP(B28,'START LİSTE'!$B$6:$F$1053,2,0)),"",VLOOKUP(B28,'START LİSTE'!$B$6:$F$1053,2,0))</f>
        <v>YAĞMUR DOĞAN</v>
      </c>
      <c r="D28" s="46" t="str">
        <f>IF(ISERROR(VLOOKUP(B28,'START LİSTE'!$B$6:$F$1053,3,0)),"",VLOOKUP(B28,'START LİSTE'!$B$6:$F$1053,3,0))</f>
        <v>İSTANBUL- VELİBABA KTML GSK</v>
      </c>
      <c r="E28" s="47" t="str">
        <f>IF(ISERROR(VLOOKUP(B28,'START LİSTE'!$B$6:$F$1053,4,0)),"",VLOOKUP(B28,'START LİSTE'!$B$6:$F$1053,4,0))</f>
        <v>T</v>
      </c>
      <c r="F28" s="48">
        <f>IF(ISERROR(VLOOKUP($B28,'START LİSTE'!$B$6:$F$1053,5,0)),"",VLOOKUP($B28,'START LİSTE'!$B$6:$F$1053,5,0))</f>
        <v>36975</v>
      </c>
      <c r="G28" s="146">
        <v>526</v>
      </c>
      <c r="H28" s="49">
        <f t="shared" si="1"/>
        <v>19</v>
      </c>
    </row>
    <row r="29" spans="1:8" ht="18" customHeight="1">
      <c r="A29" s="44">
        <f t="shared" si="0"/>
        <v>24</v>
      </c>
      <c r="B29" s="45">
        <v>699</v>
      </c>
      <c r="C29" s="46" t="str">
        <f>IF(ISERROR(VLOOKUP(B29,'START LİSTE'!$B$6:$F$1053,2,0)),"",VLOOKUP(B29,'START LİSTE'!$B$6:$F$1053,2,0))</f>
        <v>EVİN DEMİR</v>
      </c>
      <c r="D29" s="46" t="str">
        <f>IF(ISERROR(VLOOKUP(B29,'START LİSTE'!$B$6:$F$1053,3,0)),"",VLOOKUP(B29,'START LİSTE'!$B$6:$F$1053,3,0))</f>
        <v>İSTANBUL-MEVLANA SPOR KULÜBÜ</v>
      </c>
      <c r="E29" s="47" t="str">
        <f>IF(ISERROR(VLOOKUP(B29,'START LİSTE'!$B$6:$F$1053,4,0)),"",VLOOKUP(B29,'START LİSTE'!$B$6:$F$1053,4,0))</f>
        <v>T</v>
      </c>
      <c r="F29" s="48">
        <f>IF(ISERROR(VLOOKUP($B29,'START LİSTE'!$B$6:$F$1053,5,0)),"",VLOOKUP($B29,'START LİSTE'!$B$6:$F$1053,5,0))</f>
        <v>36892</v>
      </c>
      <c r="G29" s="146">
        <v>527</v>
      </c>
      <c r="H29" s="49">
        <f t="shared" si="1"/>
        <v>20</v>
      </c>
    </row>
    <row r="30" spans="1:8" ht="18" customHeight="1">
      <c r="A30" s="44">
        <f t="shared" si="0"/>
        <v>25</v>
      </c>
      <c r="B30" s="45">
        <v>697</v>
      </c>
      <c r="C30" s="46" t="str">
        <f>IF(ISERROR(VLOOKUP(B30,'START LİSTE'!$B$6:$F$1053,2,0)),"",VLOOKUP(B30,'START LİSTE'!$B$6:$F$1053,2,0))</f>
        <v>FATMA AYGÜL</v>
      </c>
      <c r="D30" s="46" t="str">
        <f>IF(ISERROR(VLOOKUP(B30,'START LİSTE'!$B$6:$F$1053,3,0)),"",VLOOKUP(B30,'START LİSTE'!$B$6:$F$1053,3,0))</f>
        <v>İSTANBUL-MEVLANA SPOR KULÜBÜ</v>
      </c>
      <c r="E30" s="47" t="str">
        <f>IF(ISERROR(VLOOKUP(B30,'START LİSTE'!$B$6:$F$1053,4,0)),"",VLOOKUP(B30,'START LİSTE'!$B$6:$F$1053,4,0))</f>
        <v>T</v>
      </c>
      <c r="F30" s="48">
        <f>IF(ISERROR(VLOOKUP($B30,'START LİSTE'!$B$6:$F$1053,5,0)),"",VLOOKUP($B30,'START LİSTE'!$B$6:$F$1053,5,0))</f>
        <v>36161</v>
      </c>
      <c r="G30" s="146">
        <v>528</v>
      </c>
      <c r="H30" s="49">
        <f t="shared" si="1"/>
        <v>21</v>
      </c>
    </row>
    <row r="31" spans="1:8" ht="18" customHeight="1">
      <c r="A31" s="44">
        <f t="shared" si="0"/>
        <v>26</v>
      </c>
      <c r="B31" s="45">
        <v>716</v>
      </c>
      <c r="C31" s="46" t="str">
        <f>IF(ISERROR(VLOOKUP(B31,'START LİSTE'!$B$6:$F$1053,2,0)),"",VLOOKUP(B31,'START LİSTE'!$B$6:$F$1053,2,0))</f>
        <v>CANSUNUR KAYA</v>
      </c>
      <c r="D31" s="46" t="str">
        <f>IF(ISERROR(VLOOKUP(B31,'START LİSTE'!$B$6:$F$1053,3,0)),"",VLOOKUP(B31,'START LİSTE'!$B$6:$F$1053,3,0))</f>
        <v>İSTANBUL-PENDİK BELEDİYE SPOR</v>
      </c>
      <c r="E31" s="47" t="str">
        <f>IF(ISERROR(VLOOKUP(B31,'START LİSTE'!$B$6:$F$1053,4,0)),"",VLOOKUP(B31,'START LİSTE'!$B$6:$F$1053,4,0))</f>
        <v>T</v>
      </c>
      <c r="F31" s="48">
        <f>IF(ISERROR(VLOOKUP($B31,'START LİSTE'!$B$6:$F$1053,5,0)),"",VLOOKUP($B31,'START LİSTE'!$B$6:$F$1053,5,0))</f>
        <v>36526</v>
      </c>
      <c r="G31" s="146">
        <v>529</v>
      </c>
      <c r="H31" s="49">
        <f t="shared" si="1"/>
        <v>22</v>
      </c>
    </row>
    <row r="32" spans="1:8" ht="18" customHeight="1">
      <c r="A32" s="44">
        <f t="shared" si="0"/>
        <v>27</v>
      </c>
      <c r="B32" s="45">
        <v>692</v>
      </c>
      <c r="C32" s="46" t="str">
        <f>IF(ISERROR(VLOOKUP(B32,'START LİSTE'!$B$6:$F$1053,2,0)),"",VLOOKUP(B32,'START LİSTE'!$B$6:$F$1053,2,0))</f>
        <v>SEMANUR YAŞLI</v>
      </c>
      <c r="D32" s="46" t="str">
        <f>IF(ISERROR(VLOOKUP(B32,'START LİSTE'!$B$6:$F$1053,3,0)),"",VLOOKUP(B32,'START LİSTE'!$B$6:$F$1053,3,0))</f>
        <v>İSTANBUL- VELİBABA KTML GSK</v>
      </c>
      <c r="E32" s="47" t="str">
        <f>IF(ISERROR(VLOOKUP(B32,'START LİSTE'!$B$6:$F$1053,4,0)),"",VLOOKUP(B32,'START LİSTE'!$B$6:$F$1053,4,0))</f>
        <v>T</v>
      </c>
      <c r="F32" s="48">
        <f>IF(ISERROR(VLOOKUP($B32,'START LİSTE'!$B$6:$F$1053,5,0)),"",VLOOKUP($B32,'START LİSTE'!$B$6:$F$1053,5,0))</f>
        <v>37127</v>
      </c>
      <c r="G32" s="146">
        <v>531</v>
      </c>
      <c r="H32" s="49">
        <f t="shared" si="1"/>
        <v>23</v>
      </c>
    </row>
    <row r="33" spans="1:8" ht="18" customHeight="1">
      <c r="A33" s="44">
        <f t="shared" si="0"/>
        <v>28</v>
      </c>
      <c r="B33" s="45">
        <v>700</v>
      </c>
      <c r="C33" s="46" t="str">
        <f>IF(ISERROR(VLOOKUP(B33,'START LİSTE'!$B$6:$F$1053,2,0)),"",VLOOKUP(B33,'START LİSTE'!$B$6:$F$1053,2,0))</f>
        <v>GÜLSEVEN KILINÇ</v>
      </c>
      <c r="D33" s="46" t="str">
        <f>IF(ISERROR(VLOOKUP(B33,'START LİSTE'!$B$6:$F$1053,3,0)),"",VLOOKUP(B33,'START LİSTE'!$B$6:$F$1053,3,0))</f>
        <v>İSTANBUL-MEVLANA SPOR KULÜBÜ</v>
      </c>
      <c r="E33" s="47" t="str">
        <f>IF(ISERROR(VLOOKUP(B33,'START LİSTE'!$B$6:$F$1053,4,0)),"",VLOOKUP(B33,'START LİSTE'!$B$6:$F$1053,4,0))</f>
        <v>T</v>
      </c>
      <c r="F33" s="48">
        <f>IF(ISERROR(VLOOKUP($B33,'START LİSTE'!$B$6:$F$1053,5,0)),"",VLOOKUP($B33,'START LİSTE'!$B$6:$F$1053,5,0))</f>
        <v>36892</v>
      </c>
      <c r="G33" s="146">
        <v>532</v>
      </c>
      <c r="H33" s="49">
        <f t="shared" si="1"/>
        <v>24</v>
      </c>
    </row>
    <row r="34" spans="1:8" ht="18" customHeight="1">
      <c r="A34" s="44">
        <f t="shared" si="0"/>
        <v>29</v>
      </c>
      <c r="B34" s="45">
        <v>673</v>
      </c>
      <c r="C34" s="46" t="str">
        <f>IF(ISERROR(VLOOKUP(B34,'START LİSTE'!$B$6:$F$1053,2,0)),"",VLOOKUP(B34,'START LİSTE'!$B$6:$F$1053,2,0))</f>
        <v>SİMGE MUĞLI</v>
      </c>
      <c r="D34" s="46" t="str">
        <f>IF(ISERROR(VLOOKUP(B34,'START LİSTE'!$B$6:$F$1053,3,0)),"",VLOOKUP(B34,'START LİSTE'!$B$6:$F$1053,3,0))</f>
        <v>ÇANAKKALE BELEDİYESPOR</v>
      </c>
      <c r="E34" s="47" t="str">
        <f>IF(ISERROR(VLOOKUP(B34,'START LİSTE'!$B$6:$F$1053,4,0)),"",VLOOKUP(B34,'START LİSTE'!$B$6:$F$1053,4,0))</f>
        <v>T</v>
      </c>
      <c r="F34" s="48">
        <f>IF(ISERROR(VLOOKUP($B34,'START LİSTE'!$B$6:$F$1053,5,0)),"",VLOOKUP($B34,'START LİSTE'!$B$6:$F$1053,5,0))</f>
        <v>36892</v>
      </c>
      <c r="G34" s="146">
        <v>533</v>
      </c>
      <c r="H34" s="49">
        <f t="shared" si="1"/>
        <v>25</v>
      </c>
    </row>
    <row r="35" spans="1:8" ht="18" customHeight="1">
      <c r="A35" s="44">
        <f t="shared" si="0"/>
        <v>30</v>
      </c>
      <c r="B35" s="45">
        <v>667</v>
      </c>
      <c r="C35" s="46" t="str">
        <f>IF(ISERROR(VLOOKUP(B35,'START LİSTE'!$B$6:$F$1053,2,0)),"",VLOOKUP(B35,'START LİSTE'!$B$6:$F$1053,2,0))</f>
        <v>JİYAN ÖNER</v>
      </c>
      <c r="D35" s="46" t="str">
        <f>IF(ISERROR(VLOOKUP(B35,'START LİSTE'!$B$6:$F$1053,3,0)),"",VLOOKUP(B35,'START LİSTE'!$B$6:$F$1053,3,0))</f>
        <v>BURSA-BÜYÜKŞEHİR BEL.SPOR</v>
      </c>
      <c r="E35" s="47" t="str">
        <f>IF(ISERROR(VLOOKUP(B35,'START LİSTE'!$B$6:$F$1053,4,0)),"",VLOOKUP(B35,'START LİSTE'!$B$6:$F$1053,4,0))</f>
        <v>T</v>
      </c>
      <c r="F35" s="48">
        <f>IF(ISERROR(VLOOKUP($B35,'START LİSTE'!$B$6:$F$1053,5,0)),"",VLOOKUP($B35,'START LİSTE'!$B$6:$F$1053,5,0))</f>
        <v>37160</v>
      </c>
      <c r="G35" s="146">
        <v>533</v>
      </c>
      <c r="H35" s="49">
        <f t="shared" si="1"/>
        <v>26</v>
      </c>
    </row>
    <row r="36" spans="1:8" ht="18" customHeight="1">
      <c r="A36" s="44">
        <f t="shared" si="0"/>
        <v>31</v>
      </c>
      <c r="B36" s="45">
        <v>744</v>
      </c>
      <c r="C36" s="46" t="str">
        <f>IF(ISERROR(VLOOKUP(B36,'START LİSTE'!$B$6:$F$1053,2,0)),"",VLOOKUP(B36,'START LİSTE'!$B$6:$F$1053,2,0))</f>
        <v>BEYZA GÜZEL</v>
      </c>
      <c r="D36" s="46" t="str">
        <f>IF(ISERROR(VLOOKUP(B36,'START LİSTE'!$B$6:$F$1053,3,0)),"",VLOOKUP(B36,'START LİSTE'!$B$6:$F$1053,3,0))</f>
        <v>SAKARYA GENÇLİK HİZMETL..</v>
      </c>
      <c r="E36" s="47" t="str">
        <f>IF(ISERROR(VLOOKUP(B36,'START LİSTE'!$B$6:$F$1053,4,0)),"",VLOOKUP(B36,'START LİSTE'!$B$6:$F$1053,4,0))</f>
        <v>T</v>
      </c>
      <c r="F36" s="48">
        <f>IF(ISERROR(VLOOKUP($B36,'START LİSTE'!$B$6:$F$1053,5,0)),"",VLOOKUP($B36,'START LİSTE'!$B$6:$F$1053,5,0))</f>
        <v>36892</v>
      </c>
      <c r="G36" s="146">
        <v>534</v>
      </c>
      <c r="H36" s="49">
        <f t="shared" si="1"/>
        <v>27</v>
      </c>
    </row>
    <row r="37" spans="1:8" ht="18" customHeight="1">
      <c r="A37" s="44">
        <f t="shared" si="0"/>
        <v>32</v>
      </c>
      <c r="B37" s="45">
        <v>759</v>
      </c>
      <c r="C37" s="46" t="str">
        <f>IF(ISERROR(VLOOKUP(B37,'START LİSTE'!$B$6:$F$1053,2,0)),"",VLOOKUP(B37,'START LİSTE'!$B$6:$F$1053,2,0))</f>
        <v>DOĞA GÜLCE ÖZCAN</v>
      </c>
      <c r="D37" s="46" t="str">
        <f>IF(ISERROR(VLOOKUP(B37,'START LİSTE'!$B$6:$F$1053,3,0)),"",VLOOKUP(B37,'START LİSTE'!$B$6:$F$1053,3,0))</f>
        <v>ÇANAKKALE/BİGA  SPOR</v>
      </c>
      <c r="E37" s="47" t="str">
        <f>IF(ISERROR(VLOOKUP(B37,'START LİSTE'!$B$6:$F$1053,4,0)),"",VLOOKUP(B37,'START LİSTE'!$B$6:$F$1053,4,0))</f>
        <v>F</v>
      </c>
      <c r="F37" s="48">
        <f>IF(ISERROR(VLOOKUP($B37,'START LİSTE'!$B$6:$F$1053,5,0)),"",VLOOKUP($B37,'START LİSTE'!$B$6:$F$1053,5,0))</f>
        <v>36563</v>
      </c>
      <c r="G37" s="146">
        <v>534</v>
      </c>
      <c r="H37" s="49">
        <f t="shared" si="1"/>
        <v>27</v>
      </c>
    </row>
    <row r="38" spans="1:8" ht="18" customHeight="1">
      <c r="A38" s="44">
        <f t="shared" si="0"/>
        <v>33</v>
      </c>
      <c r="B38" s="45">
        <v>758</v>
      </c>
      <c r="C38" s="46" t="str">
        <f>IF(ISERROR(VLOOKUP(B38,'START LİSTE'!$B$6:$F$1053,2,0)),"",VLOOKUP(B38,'START LİSTE'!$B$6:$F$1053,2,0))</f>
        <v>KÜBRA ÖNALAN</v>
      </c>
      <c r="D38" s="46" t="str">
        <f>IF(ISERROR(VLOOKUP(B38,'START LİSTE'!$B$6:$F$1053,3,0)),"",VLOOKUP(B38,'START LİSTE'!$B$6:$F$1053,3,0))</f>
        <v>İSTANBUL-MEVLANA SPOR KULÜBÜ</v>
      </c>
      <c r="E38" s="47" t="str">
        <f>IF(ISERROR(VLOOKUP(B38,'START LİSTE'!$B$6:$F$1053,4,0)),"",VLOOKUP(B38,'START LİSTE'!$B$6:$F$1053,4,0))</f>
        <v>F</v>
      </c>
      <c r="F38" s="48">
        <f>IF(ISERROR(VLOOKUP($B38,'START LİSTE'!$B$6:$F$1053,5,0)),"",VLOOKUP($B38,'START LİSTE'!$B$6:$F$1053,5,0))</f>
        <v>36892</v>
      </c>
      <c r="G38" s="146">
        <v>535</v>
      </c>
      <c r="H38" s="49">
        <f t="shared" si="1"/>
        <v>27</v>
      </c>
    </row>
    <row r="39" spans="1:8" ht="18" customHeight="1">
      <c r="A39" s="44">
        <f t="shared" si="0"/>
        <v>34</v>
      </c>
      <c r="B39" s="45">
        <v>710</v>
      </c>
      <c r="C39" s="46" t="str">
        <f>IF(ISERROR(VLOOKUP(B39,'START LİSTE'!$B$6:$F$1053,2,0)),"",VLOOKUP(B39,'START LİSTE'!$B$6:$F$1053,2,0))</f>
        <v>FEYZA BAHADIR</v>
      </c>
      <c r="D39" s="46" t="str">
        <f>IF(ISERROR(VLOOKUP(B39,'START LİSTE'!$B$6:$F$1053,3,0)),"",VLOOKUP(B39,'START LİSTE'!$B$6:$F$1053,3,0))</f>
        <v>İSTANBUL-MEVLANA SPOR KULÜBÜ</v>
      </c>
      <c r="E39" s="47" t="str">
        <f>IF(ISERROR(VLOOKUP(B39,'START LİSTE'!$B$6:$F$1053,4,0)),"",VLOOKUP(B39,'START LİSTE'!$B$6:$F$1053,4,0))</f>
        <v>F</v>
      </c>
      <c r="F39" s="48">
        <f>IF(ISERROR(VLOOKUP($B39,'START LİSTE'!$B$6:$F$1053,5,0)),"",VLOOKUP($B39,'START LİSTE'!$B$6:$F$1053,5,0))</f>
        <v>36892</v>
      </c>
      <c r="G39" s="146">
        <v>536</v>
      </c>
      <c r="H39" s="49">
        <f t="shared" si="1"/>
        <v>27</v>
      </c>
    </row>
    <row r="40" spans="1:8" ht="18" customHeight="1">
      <c r="A40" s="44">
        <f t="shared" si="0"/>
        <v>35</v>
      </c>
      <c r="B40" s="45">
        <v>694</v>
      </c>
      <c r="C40" s="46" t="str">
        <f>IF(ISERROR(VLOOKUP(B40,'START LİSTE'!$B$6:$F$1053,2,0)),"",VLOOKUP(B40,'START LİSTE'!$B$6:$F$1053,2,0))</f>
        <v>MERVE  SEFA KÖYLÜ</v>
      </c>
      <c r="D40" s="46" t="str">
        <f>IF(ISERROR(VLOOKUP(B40,'START LİSTE'!$B$6:$F$1053,3,0)),"",VLOOKUP(B40,'START LİSTE'!$B$6:$F$1053,3,0))</f>
        <v>İSTANBUL-BEŞİKTAŞ J.K</v>
      </c>
      <c r="E40" s="47" t="str">
        <f>IF(ISERROR(VLOOKUP(B40,'START LİSTE'!$B$6:$F$1053,4,0)),"",VLOOKUP(B40,'START LİSTE'!$B$6:$F$1053,4,0))</f>
        <v>T</v>
      </c>
      <c r="F40" s="48">
        <f>IF(ISERROR(VLOOKUP($B40,'START LİSTE'!$B$6:$F$1053,5,0)),"",VLOOKUP($B40,'START LİSTE'!$B$6:$F$1053,5,0))</f>
        <v>36161</v>
      </c>
      <c r="G40" s="146">
        <v>536</v>
      </c>
      <c r="H40" s="49">
        <f t="shared" si="1"/>
        <v>28</v>
      </c>
    </row>
    <row r="41" spans="1:8" ht="18" customHeight="1">
      <c r="A41" s="44">
        <f t="shared" si="0"/>
        <v>36</v>
      </c>
      <c r="B41" s="45">
        <v>698</v>
      </c>
      <c r="C41" s="46" t="str">
        <f>IF(ISERROR(VLOOKUP(B41,'START LİSTE'!$B$6:$F$1053,2,0)),"",VLOOKUP(B41,'START LİSTE'!$B$6:$F$1053,2,0))</f>
        <v>TUĞBA YAĞIŞAN</v>
      </c>
      <c r="D41" s="46" t="str">
        <f>IF(ISERROR(VLOOKUP(B41,'START LİSTE'!$B$6:$F$1053,3,0)),"",VLOOKUP(B41,'START LİSTE'!$B$6:$F$1053,3,0))</f>
        <v>İSTANBUL-MEVLANA SPOR KULÜBÜ</v>
      </c>
      <c r="E41" s="47" t="str">
        <f>IF(ISERROR(VLOOKUP(B41,'START LİSTE'!$B$6:$F$1053,4,0)),"",VLOOKUP(B41,'START LİSTE'!$B$6:$F$1053,4,0))</f>
        <v>T</v>
      </c>
      <c r="F41" s="48">
        <f>IF(ISERROR(VLOOKUP($B41,'START LİSTE'!$B$6:$F$1053,5,0)),"",VLOOKUP($B41,'START LİSTE'!$B$6:$F$1053,5,0))</f>
        <v>36892</v>
      </c>
      <c r="G41" s="146">
        <v>537</v>
      </c>
      <c r="H41" s="49">
        <f t="shared" si="1"/>
        <v>29</v>
      </c>
    </row>
    <row r="42" spans="1:8" ht="18" customHeight="1">
      <c r="A42" s="44">
        <f t="shared" si="0"/>
        <v>37</v>
      </c>
      <c r="B42" s="45">
        <v>703</v>
      </c>
      <c r="C42" s="46" t="str">
        <f>IF(ISERROR(VLOOKUP(B42,'START LİSTE'!$B$6:$F$1053,2,0)),"",VLOOKUP(B42,'START LİSTE'!$B$6:$F$1053,2,0))</f>
        <v>AYSE YILDIRIM CAKAR</v>
      </c>
      <c r="D42" s="46" t="str">
        <f>IF(ISERROR(VLOOKUP(B42,'START LİSTE'!$B$6:$F$1053,3,0)),"",VLOOKUP(B42,'START LİSTE'!$B$6:$F$1053,3,0))</f>
        <v>İSTANBUL-MEVLANA SPOR KULÜBÜ</v>
      </c>
      <c r="E42" s="47" t="str">
        <f>IF(ISERROR(VLOOKUP(B42,'START LİSTE'!$B$6:$F$1053,4,0)),"",VLOOKUP(B42,'START LİSTE'!$B$6:$F$1053,4,0))</f>
        <v>F</v>
      </c>
      <c r="F42" s="48">
        <f>IF(ISERROR(VLOOKUP($B42,'START LİSTE'!$B$6:$F$1053,5,0)),"",VLOOKUP($B42,'START LİSTE'!$B$6:$F$1053,5,0))</f>
        <v>36892</v>
      </c>
      <c r="G42" s="146">
        <v>538</v>
      </c>
      <c r="H42" s="49">
        <f t="shared" si="1"/>
        <v>29</v>
      </c>
    </row>
    <row r="43" spans="1:8" ht="18" customHeight="1">
      <c r="A43" s="44">
        <f t="shared" si="0"/>
        <v>38</v>
      </c>
      <c r="B43" s="45">
        <v>737</v>
      </c>
      <c r="C43" s="46" t="str">
        <f>IF(ISERROR(VLOOKUP(B43,'START LİSTE'!$B$6:$F$1053,2,0)),"",VLOOKUP(B43,'START LİSTE'!$B$6:$F$1053,2,0))</f>
        <v>SİMGE KONAK</v>
      </c>
      <c r="D43" s="46" t="str">
        <f>IF(ISERROR(VLOOKUP(B43,'START LİSTE'!$B$6:$F$1053,3,0)),"",VLOOKUP(B43,'START LİSTE'!$B$6:$F$1053,3,0))</f>
        <v>SAKARYA BÜYÜKŞEHİR BEL.</v>
      </c>
      <c r="E43" s="47" t="str">
        <f>IF(ISERROR(VLOOKUP(B43,'START LİSTE'!$B$6:$F$1053,4,0)),"",VLOOKUP(B43,'START LİSTE'!$B$6:$F$1053,4,0))</f>
        <v>T</v>
      </c>
      <c r="F43" s="48">
        <f>IF(ISERROR(VLOOKUP($B43,'START LİSTE'!$B$6:$F$1053,5,0)),"",VLOOKUP($B43,'START LİSTE'!$B$6:$F$1053,5,0))</f>
        <v>37115</v>
      </c>
      <c r="G43" s="146">
        <v>539</v>
      </c>
      <c r="H43" s="49">
        <f t="shared" si="1"/>
        <v>30</v>
      </c>
    </row>
    <row r="44" spans="1:8" ht="18" customHeight="1">
      <c r="A44" s="44">
        <f t="shared" si="0"/>
        <v>39</v>
      </c>
      <c r="B44" s="45">
        <v>702</v>
      </c>
      <c r="C44" s="46" t="str">
        <f>IF(ISERROR(VLOOKUP(B44,'START LİSTE'!$B$6:$F$1053,2,0)),"",VLOOKUP(B44,'START LİSTE'!$B$6:$F$1053,2,0))</f>
        <v>RABİA YURDAM</v>
      </c>
      <c r="D44" s="46" t="str">
        <f>IF(ISERROR(VLOOKUP(B44,'START LİSTE'!$B$6:$F$1053,3,0)),"",VLOOKUP(B44,'START LİSTE'!$B$6:$F$1053,3,0))</f>
        <v>İSTANBUL-MEVLANA SPOR KULÜBÜ</v>
      </c>
      <c r="E44" s="47" t="str">
        <f>IF(ISERROR(VLOOKUP(B44,'START LİSTE'!$B$6:$F$1053,4,0)),"",VLOOKUP(B44,'START LİSTE'!$B$6:$F$1053,4,0))</f>
        <v>F</v>
      </c>
      <c r="F44" s="48">
        <f>IF(ISERROR(VLOOKUP($B44,'START LİSTE'!$B$6:$F$1053,5,0)),"",VLOOKUP($B44,'START LİSTE'!$B$6:$F$1053,5,0))</f>
        <v>36892</v>
      </c>
      <c r="G44" s="146">
        <v>540</v>
      </c>
      <c r="H44" s="49">
        <f t="shared" si="1"/>
        <v>30</v>
      </c>
    </row>
    <row r="45" spans="1:8" ht="18" customHeight="1">
      <c r="A45" s="44">
        <f t="shared" si="0"/>
        <v>40</v>
      </c>
      <c r="B45" s="45">
        <v>709</v>
      </c>
      <c r="C45" s="46" t="str">
        <f>IF(ISERROR(VLOOKUP(B45,'START LİSTE'!$B$6:$F$1053,2,0)),"",VLOOKUP(B45,'START LİSTE'!$B$6:$F$1053,2,0))</f>
        <v>PINAR AKBACI</v>
      </c>
      <c r="D45" s="46" t="str">
        <f>IF(ISERROR(VLOOKUP(B45,'START LİSTE'!$B$6:$F$1053,3,0)),"",VLOOKUP(B45,'START LİSTE'!$B$6:$F$1053,3,0))</f>
        <v>İSTANBUL-MEVLANA SPOR KULÜBÜ</v>
      </c>
      <c r="E45" s="47" t="str">
        <f>IF(ISERROR(VLOOKUP(B45,'START LİSTE'!$B$6:$F$1053,4,0)),"",VLOOKUP(B45,'START LİSTE'!$B$6:$F$1053,4,0))</f>
        <v>F</v>
      </c>
      <c r="F45" s="48">
        <f>IF(ISERROR(VLOOKUP($B45,'START LİSTE'!$B$6:$F$1053,5,0)),"",VLOOKUP($B45,'START LİSTE'!$B$6:$F$1053,5,0))</f>
        <v>36526</v>
      </c>
      <c r="G45" s="146">
        <v>542</v>
      </c>
      <c r="H45" s="49">
        <f t="shared" si="1"/>
        <v>30</v>
      </c>
    </row>
    <row r="46" spans="1:8" ht="18" customHeight="1">
      <c r="A46" s="44">
        <f t="shared" si="0"/>
        <v>41</v>
      </c>
      <c r="B46" s="45">
        <v>757</v>
      </c>
      <c r="C46" s="46" t="str">
        <f>IF(ISERROR(VLOOKUP(B46,'START LİSTE'!$B$6:$F$1053,2,0)),"",VLOOKUP(B46,'START LİSTE'!$B$6:$F$1053,2,0))</f>
        <v>İNCİ KAYA</v>
      </c>
      <c r="D46" s="46" t="str">
        <f>IF(ISERROR(VLOOKUP(B46,'START LİSTE'!$B$6:$F$1053,3,0)),"",VLOOKUP(B46,'START LİSTE'!$B$6:$F$1053,3,0))</f>
        <v>İSTANBUL-MEVLANA SPOR KULÜBÜ</v>
      </c>
      <c r="E46" s="47" t="str">
        <f>IF(ISERROR(VLOOKUP(B46,'START LİSTE'!$B$6:$F$1053,4,0)),"",VLOOKUP(B46,'START LİSTE'!$B$6:$F$1053,4,0))</f>
        <v>F</v>
      </c>
      <c r="F46" s="48">
        <f>IF(ISERROR(VLOOKUP($B46,'START LİSTE'!$B$6:$F$1053,5,0)),"",VLOOKUP($B46,'START LİSTE'!$B$6:$F$1053,5,0))</f>
        <v>36892</v>
      </c>
      <c r="G46" s="146">
        <v>542</v>
      </c>
      <c r="H46" s="49">
        <f t="shared" si="1"/>
        <v>30</v>
      </c>
    </row>
    <row r="47" spans="1:8" ht="18" customHeight="1">
      <c r="A47" s="44">
        <f t="shared" si="0"/>
        <v>42</v>
      </c>
      <c r="B47" s="45">
        <v>746</v>
      </c>
      <c r="C47" s="46" t="str">
        <f>IF(ISERROR(VLOOKUP(B47,'START LİSTE'!$B$6:$F$1053,2,0)),"",VLOOKUP(B47,'START LİSTE'!$B$6:$F$1053,2,0))</f>
        <v>EYMEN MUSAOĞLU</v>
      </c>
      <c r="D47" s="46" t="str">
        <f>IF(ISERROR(VLOOKUP(B47,'START LİSTE'!$B$6:$F$1053,3,0)),"",VLOOKUP(B47,'START LİSTE'!$B$6:$F$1053,3,0))</f>
        <v>TEKİRDAĞ-GENÇLİK HİZMETLERİ KARMASI</v>
      </c>
      <c r="E47" s="47" t="str">
        <f>IF(ISERROR(VLOOKUP(B47,'START LİSTE'!$B$6:$F$1053,4,0)),"",VLOOKUP(B47,'START LİSTE'!$B$6:$F$1053,4,0))</f>
        <v>T</v>
      </c>
      <c r="F47" s="48">
        <f>IF(ISERROR(VLOOKUP($B47,'START LİSTE'!$B$6:$F$1053,5,0)),"",VLOOKUP($B47,'START LİSTE'!$B$6:$F$1053,5,0))</f>
        <v>36595</v>
      </c>
      <c r="G47" s="146">
        <v>544</v>
      </c>
      <c r="H47" s="49">
        <f t="shared" si="1"/>
        <v>31</v>
      </c>
    </row>
    <row r="48" spans="1:8" ht="18" customHeight="1">
      <c r="A48" s="44">
        <f t="shared" si="0"/>
        <v>43</v>
      </c>
      <c r="B48" s="45">
        <v>722</v>
      </c>
      <c r="C48" s="46" t="str">
        <f>IF(ISERROR(VLOOKUP(B48,'START LİSTE'!$B$6:$F$1053,2,0)),"",VLOOKUP(B48,'START LİSTE'!$B$6:$F$1053,2,0))</f>
        <v>İREM USTA</v>
      </c>
      <c r="D48" s="46" t="str">
        <f>IF(ISERROR(VLOOKUP(B48,'START LİSTE'!$B$6:$F$1053,3,0)),"",VLOOKUP(B48,'START LİSTE'!$B$6:$F$1053,3,0))</f>
        <v>KOCAELİ- BÜYÜKŞEHİR BEL.KAĞITSPOR KULÜBÜ</v>
      </c>
      <c r="E48" s="47" t="str">
        <f>IF(ISERROR(VLOOKUP(B48,'START LİSTE'!$B$6:$F$1053,4,0)),"",VLOOKUP(B48,'START LİSTE'!$B$6:$F$1053,4,0))</f>
        <v>T</v>
      </c>
      <c r="F48" s="48">
        <f>IF(ISERROR(VLOOKUP($B48,'START LİSTE'!$B$6:$F$1053,5,0)),"",VLOOKUP($B48,'START LİSTE'!$B$6:$F$1053,5,0))</f>
        <v>36831</v>
      </c>
      <c r="G48" s="146">
        <v>545</v>
      </c>
      <c r="H48" s="49">
        <f t="shared" si="1"/>
        <v>32</v>
      </c>
    </row>
    <row r="49" spans="1:8" ht="18" customHeight="1">
      <c r="A49" s="44">
        <f t="shared" si="0"/>
        <v>44</v>
      </c>
      <c r="B49" s="45">
        <v>690</v>
      </c>
      <c r="C49" s="46" t="str">
        <f>IF(ISERROR(VLOOKUP(B49,'START LİSTE'!$B$6:$F$1053,2,0)),"",VLOOKUP(B49,'START LİSTE'!$B$6:$F$1053,2,0))</f>
        <v>ÖZLEM YAŞLI </v>
      </c>
      <c r="D49" s="46" t="str">
        <f>IF(ISERROR(VLOOKUP(B49,'START LİSTE'!$B$6:$F$1053,3,0)),"",VLOOKUP(B49,'START LİSTE'!$B$6:$F$1053,3,0))</f>
        <v>İSTANBUL- VELİBABA KTML GSK</v>
      </c>
      <c r="E49" s="47" t="str">
        <f>IF(ISERROR(VLOOKUP(B49,'START LİSTE'!$B$6:$F$1053,4,0)),"",VLOOKUP(B49,'START LİSTE'!$B$6:$F$1053,4,0))</f>
        <v>T</v>
      </c>
      <c r="F49" s="48">
        <f>IF(ISERROR(VLOOKUP($B49,'START LİSTE'!$B$6:$F$1053,5,0)),"",VLOOKUP($B49,'START LİSTE'!$B$6:$F$1053,5,0))</f>
        <v>36714</v>
      </c>
      <c r="G49" s="146">
        <v>545</v>
      </c>
      <c r="H49" s="49">
        <f t="shared" si="1"/>
        <v>33</v>
      </c>
    </row>
    <row r="50" spans="1:8" ht="18" customHeight="1">
      <c r="A50" s="44">
        <f t="shared" si="0"/>
        <v>45</v>
      </c>
      <c r="B50" s="45">
        <v>696</v>
      </c>
      <c r="C50" s="46" t="str">
        <f>IF(ISERROR(VLOOKUP(B50,'START LİSTE'!$B$6:$F$1053,2,0)),"",VLOOKUP(B50,'START LİSTE'!$B$6:$F$1053,2,0))</f>
        <v>DERYA TENBEL</v>
      </c>
      <c r="D50" s="46" t="str">
        <f>IF(ISERROR(VLOOKUP(B50,'START LİSTE'!$B$6:$F$1053,3,0)),"",VLOOKUP(B50,'START LİSTE'!$B$6:$F$1053,3,0))</f>
        <v>İSTANBUL-BEŞİKTAŞ J.K</v>
      </c>
      <c r="E50" s="47" t="str">
        <f>IF(ISERROR(VLOOKUP(B50,'START LİSTE'!$B$6:$F$1053,4,0)),"",VLOOKUP(B50,'START LİSTE'!$B$6:$F$1053,4,0))</f>
        <v>T</v>
      </c>
      <c r="F50" s="48">
        <f>IF(ISERROR(VLOOKUP($B50,'START LİSTE'!$B$6:$F$1053,5,0)),"",VLOOKUP($B50,'START LİSTE'!$B$6:$F$1053,5,0))</f>
        <v>36688</v>
      </c>
      <c r="G50" s="146">
        <v>546</v>
      </c>
      <c r="H50" s="49">
        <f t="shared" si="1"/>
        <v>34</v>
      </c>
    </row>
    <row r="51" spans="1:8" ht="18" customHeight="1">
      <c r="A51" s="44">
        <f t="shared" si="0"/>
        <v>46</v>
      </c>
      <c r="B51" s="45">
        <v>672</v>
      </c>
      <c r="C51" s="46" t="str">
        <f>IF(ISERROR(VLOOKUP(B51,'START LİSTE'!$B$6:$F$1053,2,0)),"",VLOOKUP(B51,'START LİSTE'!$B$6:$F$1053,2,0))</f>
        <v>İREM KOÇ</v>
      </c>
      <c r="D51" s="46" t="str">
        <f>IF(ISERROR(VLOOKUP(B51,'START LİSTE'!$B$6:$F$1053,3,0)),"",VLOOKUP(B51,'START LİSTE'!$B$6:$F$1053,3,0))</f>
        <v>BURSA-OSMANGAZİ BLD.SPOR KLB.</v>
      </c>
      <c r="E51" s="47" t="str">
        <f>IF(ISERROR(VLOOKUP(B51,'START LİSTE'!$B$6:$F$1053,4,0)),"",VLOOKUP(B51,'START LİSTE'!$B$6:$F$1053,4,0))</f>
        <v>T</v>
      </c>
      <c r="F51" s="48">
        <f>IF(ISERROR(VLOOKUP($B51,'START LİSTE'!$B$6:$F$1053,5,0)),"",VLOOKUP($B51,'START LİSTE'!$B$6:$F$1053,5,0))</f>
        <v>37247</v>
      </c>
      <c r="G51" s="146">
        <v>547</v>
      </c>
      <c r="H51" s="49">
        <f t="shared" si="1"/>
        <v>35</v>
      </c>
    </row>
    <row r="52" spans="1:8" ht="18" customHeight="1">
      <c r="A52" s="44">
        <f t="shared" si="0"/>
        <v>47</v>
      </c>
      <c r="B52" s="45">
        <v>738</v>
      </c>
      <c r="C52" s="46" t="str">
        <f>IF(ISERROR(VLOOKUP(B52,'START LİSTE'!$B$6:$F$1053,2,0)),"",VLOOKUP(B52,'START LİSTE'!$B$6:$F$1053,2,0))</f>
        <v>KÜBRA KABANA</v>
      </c>
      <c r="D52" s="46" t="str">
        <f>IF(ISERROR(VLOOKUP(B52,'START LİSTE'!$B$6:$F$1053,3,0)),"",VLOOKUP(B52,'START LİSTE'!$B$6:$F$1053,3,0))</f>
        <v>SAKARYA BÜYÜKŞEHİR BEL.</v>
      </c>
      <c r="E52" s="47" t="str">
        <f>IF(ISERROR(VLOOKUP(B52,'START LİSTE'!$B$6:$F$1053,4,0)),"",VLOOKUP(B52,'START LİSTE'!$B$6:$F$1053,4,0))</f>
        <v>T</v>
      </c>
      <c r="F52" s="48">
        <f>IF(ISERROR(VLOOKUP($B52,'START LİSTE'!$B$6:$F$1053,5,0)),"",VLOOKUP($B52,'START LİSTE'!$B$6:$F$1053,5,0))</f>
        <v>36240</v>
      </c>
      <c r="G52" s="146">
        <v>549</v>
      </c>
      <c r="H52" s="49">
        <f t="shared" si="1"/>
        <v>36</v>
      </c>
    </row>
    <row r="53" spans="1:8" ht="18" customHeight="1">
      <c r="A53" s="44">
        <f t="shared" si="0"/>
        <v>48</v>
      </c>
      <c r="B53" s="45">
        <v>695</v>
      </c>
      <c r="C53" s="46" t="str">
        <f>IF(ISERROR(VLOOKUP(B53,'START LİSTE'!$B$6:$F$1053,2,0)),"",VLOOKUP(B53,'START LİSTE'!$B$6:$F$1053,2,0))</f>
        <v>DERYA  GÜLDAL</v>
      </c>
      <c r="D53" s="46" t="str">
        <f>IF(ISERROR(VLOOKUP(B53,'START LİSTE'!$B$6:$F$1053,3,0)),"",VLOOKUP(B53,'START LİSTE'!$B$6:$F$1053,3,0))</f>
        <v>İSTANBUL-BEŞİKTAŞ J.K</v>
      </c>
      <c r="E53" s="47" t="str">
        <f>IF(ISERROR(VLOOKUP(B53,'START LİSTE'!$B$6:$F$1053,4,0)),"",VLOOKUP(B53,'START LİSTE'!$B$6:$F$1053,4,0))</f>
        <v>T</v>
      </c>
      <c r="F53" s="48">
        <f>IF(ISERROR(VLOOKUP($B53,'START LİSTE'!$B$6:$F$1053,5,0)),"",VLOOKUP($B53,'START LİSTE'!$B$6:$F$1053,5,0))</f>
        <v>36661</v>
      </c>
      <c r="G53" s="146">
        <v>550</v>
      </c>
      <c r="H53" s="49">
        <f t="shared" si="1"/>
        <v>37</v>
      </c>
    </row>
    <row r="54" spans="1:8" ht="18" customHeight="1">
      <c r="A54" s="44">
        <f t="shared" si="0"/>
        <v>49</v>
      </c>
      <c r="B54" s="45">
        <v>776</v>
      </c>
      <c r="C54" s="46" t="str">
        <f>IF(ISERROR(VLOOKUP(B54,'START LİSTE'!$B$6:$F$1053,2,0)),"",VLOOKUP(B54,'START LİSTE'!$B$6:$F$1053,2,0))</f>
        <v>İREM ZEHRA KARABABA</v>
      </c>
      <c r="D54" s="46" t="str">
        <f>IF(ISERROR(VLOOKUP(B54,'START LİSTE'!$B$6:$F$1053,3,0)),"",VLOOKUP(B54,'START LİSTE'!$B$6:$F$1053,3,0))</f>
        <v>İSTANBUL-BEŞİKTAŞ J.K</v>
      </c>
      <c r="E54" s="47" t="str">
        <f>IF(ISERROR(VLOOKUP(B54,'START LİSTE'!$B$6:$F$1053,4,0)),"",VLOOKUP(B54,'START LİSTE'!$B$6:$F$1053,4,0))</f>
        <v>F</v>
      </c>
      <c r="F54" s="48">
        <f>IF(ISERROR(VLOOKUP($B54,'START LİSTE'!$B$6:$F$1053,5,0)),"",VLOOKUP($B54,'START LİSTE'!$B$6:$F$1053,5,0))</f>
        <v>37026</v>
      </c>
      <c r="G54" s="146">
        <v>551</v>
      </c>
      <c r="H54" s="49">
        <f t="shared" si="1"/>
        <v>37</v>
      </c>
    </row>
    <row r="55" spans="1:8" ht="18" customHeight="1">
      <c r="A55" s="44">
        <f t="shared" si="0"/>
        <v>50</v>
      </c>
      <c r="B55" s="45">
        <v>711</v>
      </c>
      <c r="C55" s="46" t="str">
        <f>IF(ISERROR(VLOOKUP(B55,'START LİSTE'!$B$6:$F$1053,2,0)),"",VLOOKUP(B55,'START LİSTE'!$B$6:$F$1053,2,0))</f>
        <v>ŞEYDA ARSLAN</v>
      </c>
      <c r="D55" s="46" t="str">
        <f>IF(ISERROR(VLOOKUP(B55,'START LİSTE'!$B$6:$F$1053,3,0)),"",VLOOKUP(B55,'START LİSTE'!$B$6:$F$1053,3,0))</f>
        <v>İSTANBUL-MEVLANA SPOR KULÜBÜ</v>
      </c>
      <c r="E55" s="47" t="str">
        <f>IF(ISERROR(VLOOKUP(B55,'START LİSTE'!$B$6:$F$1053,4,0)),"",VLOOKUP(B55,'START LİSTE'!$B$6:$F$1053,4,0))</f>
        <v>F</v>
      </c>
      <c r="F55" s="48">
        <f>IF(ISERROR(VLOOKUP($B55,'START LİSTE'!$B$6:$F$1053,5,0)),"",VLOOKUP($B55,'START LİSTE'!$B$6:$F$1053,5,0))</f>
        <v>36892</v>
      </c>
      <c r="G55" s="146">
        <v>552</v>
      </c>
      <c r="H55" s="49">
        <f t="shared" si="1"/>
        <v>37</v>
      </c>
    </row>
    <row r="56" spans="1:8" ht="18" customHeight="1">
      <c r="A56" s="44">
        <f t="shared" si="0"/>
        <v>51</v>
      </c>
      <c r="B56" s="45">
        <v>750</v>
      </c>
      <c r="C56" s="46" t="str">
        <f>IF(ISERROR(VLOOKUP(B56,'START LİSTE'!$B$6:$F$1053,2,0)),"",VLOOKUP(B56,'START LİSTE'!$B$6:$F$1053,2,0))</f>
        <v>SEMİHA AKSAKALLI</v>
      </c>
      <c r="D56" s="46" t="str">
        <f>IF(ISERROR(VLOOKUP(B56,'START LİSTE'!$B$6:$F$1053,3,0)),"",VLOOKUP(B56,'START LİSTE'!$B$6:$F$1053,3,0))</f>
        <v>YALOVA - GHSK</v>
      </c>
      <c r="E56" s="47" t="str">
        <f>IF(ISERROR(VLOOKUP(B56,'START LİSTE'!$B$6:$F$1053,4,0)),"",VLOOKUP(B56,'START LİSTE'!$B$6:$F$1053,4,0))</f>
        <v>T</v>
      </c>
      <c r="F56" s="48">
        <f>IF(ISERROR(VLOOKUP($B56,'START LİSTE'!$B$6:$F$1053,5,0)),"",VLOOKUP($B56,'START LİSTE'!$B$6:$F$1053,5,0))</f>
        <v>36526</v>
      </c>
      <c r="G56" s="146">
        <v>553</v>
      </c>
      <c r="H56" s="49">
        <f t="shared" si="1"/>
        <v>38</v>
      </c>
    </row>
    <row r="57" spans="1:8" ht="18" customHeight="1">
      <c r="A57" s="44">
        <f t="shared" si="0"/>
        <v>52</v>
      </c>
      <c r="B57" s="45">
        <v>693</v>
      </c>
      <c r="C57" s="46" t="str">
        <f>IF(ISERROR(VLOOKUP(B57,'START LİSTE'!$B$6:$F$1053,2,0)),"",VLOOKUP(B57,'START LİSTE'!$B$6:$F$1053,2,0))</f>
        <v>ŞEYMANUR ÇOŞKUN</v>
      </c>
      <c r="D57" s="46" t="str">
        <f>IF(ISERROR(VLOOKUP(B57,'START LİSTE'!$B$6:$F$1053,3,0)),"",VLOOKUP(B57,'START LİSTE'!$B$6:$F$1053,3,0))</f>
        <v>İSTANBUL-BEŞİKTAŞ J.K</v>
      </c>
      <c r="E57" s="47" t="str">
        <f>IF(ISERROR(VLOOKUP(B57,'START LİSTE'!$B$6:$F$1053,4,0)),"",VLOOKUP(B57,'START LİSTE'!$B$6:$F$1053,4,0))</f>
        <v>T</v>
      </c>
      <c r="F57" s="48">
        <f>IF(ISERROR(VLOOKUP($B57,'START LİSTE'!$B$6:$F$1053,5,0)),"",VLOOKUP($B57,'START LİSTE'!$B$6:$F$1053,5,0))</f>
        <v>36721</v>
      </c>
      <c r="G57" s="146">
        <v>554</v>
      </c>
      <c r="H57" s="49">
        <f t="shared" si="1"/>
        <v>39</v>
      </c>
    </row>
    <row r="58" spans="1:8" ht="18" customHeight="1">
      <c r="A58" s="44">
        <f t="shared" si="0"/>
        <v>53</v>
      </c>
      <c r="B58" s="45">
        <v>724</v>
      </c>
      <c r="C58" s="46" t="str">
        <f>IF(ISERROR(VLOOKUP(B58,'START LİSTE'!$B$6:$F$1053,2,0)),"",VLOOKUP(B58,'START LİSTE'!$B$6:$F$1053,2,0))</f>
        <v>DÖNDÜ KOÇ</v>
      </c>
      <c r="D58" s="46" t="str">
        <f>IF(ISERROR(VLOOKUP(B58,'START LİSTE'!$B$6:$F$1053,3,0)),"",VLOOKUP(B58,'START LİSTE'!$B$6:$F$1053,3,0))</f>
        <v>KOCAELİ- BÜYÜKŞEHİR BEL.KAĞITSPOR KULÜBÜ</v>
      </c>
      <c r="E58" s="47" t="str">
        <f>IF(ISERROR(VLOOKUP(B58,'START LİSTE'!$B$6:$F$1053,4,0)),"",VLOOKUP(B58,'START LİSTE'!$B$6:$F$1053,4,0))</f>
        <v>T</v>
      </c>
      <c r="F58" s="48">
        <f>IF(ISERROR(VLOOKUP($B58,'START LİSTE'!$B$6:$F$1053,5,0)),"",VLOOKUP($B58,'START LİSTE'!$B$6:$F$1053,5,0))</f>
        <v>36648</v>
      </c>
      <c r="G58" s="146">
        <v>557</v>
      </c>
      <c r="H58" s="49">
        <f t="shared" si="1"/>
        <v>40</v>
      </c>
    </row>
    <row r="59" spans="1:8" ht="18" customHeight="1">
      <c r="A59" s="44">
        <f t="shared" si="0"/>
        <v>54</v>
      </c>
      <c r="B59" s="45">
        <v>745</v>
      </c>
      <c r="C59" s="46" t="str">
        <f>IF(ISERROR(VLOOKUP(B59,'START LİSTE'!$B$6:$F$1053,2,0)),"",VLOOKUP(B59,'START LİSTE'!$B$6:$F$1053,2,0))</f>
        <v>MİRAY YAREN YILDIRAN</v>
      </c>
      <c r="D59" s="46" t="str">
        <f>IF(ISERROR(VLOOKUP(B59,'START LİSTE'!$B$6:$F$1053,3,0)),"",VLOOKUP(B59,'START LİSTE'!$B$6:$F$1053,3,0))</f>
        <v>TEKİRDAĞ-GENÇLİK HİZMETLERİ KARMASI</v>
      </c>
      <c r="E59" s="47" t="str">
        <f>IF(ISERROR(VLOOKUP(B59,'START LİSTE'!$B$6:$F$1053,4,0)),"",VLOOKUP(B59,'START LİSTE'!$B$6:$F$1053,4,0))</f>
        <v>T</v>
      </c>
      <c r="F59" s="48">
        <f>IF(ISERROR(VLOOKUP($B59,'START LİSTE'!$B$6:$F$1053,5,0)),"",VLOOKUP($B59,'START LİSTE'!$B$6:$F$1053,5,0))</f>
        <v>36360</v>
      </c>
      <c r="G59" s="146">
        <v>558</v>
      </c>
      <c r="H59" s="49">
        <f t="shared" si="1"/>
        <v>41</v>
      </c>
    </row>
    <row r="60" spans="1:8" ht="18" customHeight="1">
      <c r="A60" s="44">
        <f t="shared" si="0"/>
        <v>55</v>
      </c>
      <c r="B60" s="45">
        <v>674</v>
      </c>
      <c r="C60" s="46" t="str">
        <f>IF(ISERROR(VLOOKUP(B60,'START LİSTE'!$B$6:$F$1053,2,0)),"",VLOOKUP(B60,'START LİSTE'!$B$6:$F$1053,2,0))</f>
        <v>MERVE ARSLAN</v>
      </c>
      <c r="D60" s="46" t="str">
        <f>IF(ISERROR(VLOOKUP(B60,'START LİSTE'!$B$6:$F$1053,3,0)),"",VLOOKUP(B60,'START LİSTE'!$B$6:$F$1053,3,0))</f>
        <v>ÇANAKKALE BELEDİYESPOR</v>
      </c>
      <c r="E60" s="47" t="str">
        <f>IF(ISERROR(VLOOKUP(B60,'START LİSTE'!$B$6:$F$1053,4,0)),"",VLOOKUP(B60,'START LİSTE'!$B$6:$F$1053,4,0))</f>
        <v>T</v>
      </c>
      <c r="F60" s="48">
        <f>IF(ISERROR(VLOOKUP($B60,'START LİSTE'!$B$6:$F$1053,5,0)),"",VLOOKUP($B60,'START LİSTE'!$B$6:$F$1053,5,0))</f>
        <v>36161</v>
      </c>
      <c r="G60" s="146">
        <v>559</v>
      </c>
      <c r="H60" s="49">
        <f t="shared" si="1"/>
        <v>42</v>
      </c>
    </row>
    <row r="61" spans="1:8" ht="18" customHeight="1">
      <c r="A61" s="44">
        <f t="shared" si="0"/>
        <v>56</v>
      </c>
      <c r="B61" s="45">
        <v>754</v>
      </c>
      <c r="C61" s="46" t="str">
        <f>IF(ISERROR(VLOOKUP(B61,'START LİSTE'!$B$6:$F$1053,2,0)),"",VLOOKUP(B61,'START LİSTE'!$B$6:$F$1053,2,0))</f>
        <v>ELİF ÖZÇELİK</v>
      </c>
      <c r="D61" s="46" t="str">
        <f>IF(ISERROR(VLOOKUP(B61,'START LİSTE'!$B$6:$F$1053,3,0)),"",VLOOKUP(B61,'START LİSTE'!$B$6:$F$1053,3,0))</f>
        <v>İSTANBUL-ÜSKÜDAR SPOR KULÜBÜ</v>
      </c>
      <c r="E61" s="47" t="str">
        <f>IF(ISERROR(VLOOKUP(B61,'START LİSTE'!$B$6:$F$1053,4,0)),"",VLOOKUP(B61,'START LİSTE'!$B$6:$F$1053,4,0))</f>
        <v>F</v>
      </c>
      <c r="F61" s="48" t="str">
        <f>IF(ISERROR(VLOOKUP($B61,'START LİSTE'!$B$6:$F$1053,5,0)),"",VLOOKUP($B61,'START LİSTE'!$B$6:$F$1053,5,0))</f>
        <v>-</v>
      </c>
      <c r="G61" s="146">
        <v>600</v>
      </c>
      <c r="H61" s="49">
        <f t="shared" si="1"/>
        <v>42</v>
      </c>
    </row>
    <row r="62" spans="1:8" ht="18" customHeight="1">
      <c r="A62" s="44">
        <f t="shared" si="0"/>
        <v>57</v>
      </c>
      <c r="B62" s="45">
        <v>681</v>
      </c>
      <c r="C62" s="46" t="str">
        <f>IF(ISERROR(VLOOKUP(B62,'START LİSTE'!$B$6:$F$1053,2,0)),"",VLOOKUP(B62,'START LİSTE'!$B$6:$F$1053,2,0))</f>
        <v>SİMAY NUR ERGİN</v>
      </c>
      <c r="D62" s="46" t="str">
        <f>IF(ISERROR(VLOOKUP(B62,'START LİSTE'!$B$6:$F$1053,3,0)),"",VLOOKUP(B62,'START LİSTE'!$B$6:$F$1053,3,0))</f>
        <v>EDİRNE GENÇLİK SPOR KULÜBÜ</v>
      </c>
      <c r="E62" s="47" t="str">
        <f>IF(ISERROR(VLOOKUP(B62,'START LİSTE'!$B$6:$F$1053,4,0)),"",VLOOKUP(B62,'START LİSTE'!$B$6:$F$1053,4,0))</f>
        <v>T</v>
      </c>
      <c r="F62" s="48">
        <f>IF(ISERROR(VLOOKUP($B62,'START LİSTE'!$B$6:$F$1053,5,0)),"",VLOOKUP($B62,'START LİSTE'!$B$6:$F$1053,5,0))</f>
        <v>36874</v>
      </c>
      <c r="G62" s="146">
        <v>601</v>
      </c>
      <c r="H62" s="49">
        <f t="shared" si="1"/>
        <v>43</v>
      </c>
    </row>
    <row r="63" spans="1:8" ht="18" customHeight="1">
      <c r="A63" s="44">
        <f t="shared" si="0"/>
        <v>58</v>
      </c>
      <c r="B63" s="45">
        <v>749</v>
      </c>
      <c r="C63" s="46" t="str">
        <f>IF(ISERROR(VLOOKUP(B63,'START LİSTE'!$B$6:$F$1053,2,0)),"",VLOOKUP(B63,'START LİSTE'!$B$6:$F$1053,2,0))</f>
        <v>EDANUR EYÜBOĞLU</v>
      </c>
      <c r="D63" s="46" t="str">
        <f>IF(ISERROR(VLOOKUP(B63,'START LİSTE'!$B$6:$F$1053,3,0)),"",VLOOKUP(B63,'START LİSTE'!$B$6:$F$1053,3,0))</f>
        <v>YALOVA - GHSK</v>
      </c>
      <c r="E63" s="47" t="str">
        <f>IF(ISERROR(VLOOKUP(B63,'START LİSTE'!$B$6:$F$1053,4,0)),"",VLOOKUP(B63,'START LİSTE'!$B$6:$F$1053,4,0))</f>
        <v>T</v>
      </c>
      <c r="F63" s="48">
        <f>IF(ISERROR(VLOOKUP($B63,'START LİSTE'!$B$6:$F$1053,5,0)),"",VLOOKUP($B63,'START LİSTE'!$B$6:$F$1053,5,0))</f>
        <v>37064</v>
      </c>
      <c r="G63" s="146">
        <v>601</v>
      </c>
      <c r="H63" s="49">
        <f t="shared" si="1"/>
        <v>44</v>
      </c>
    </row>
    <row r="64" spans="1:8" ht="18" customHeight="1">
      <c r="A64" s="44">
        <f t="shared" si="0"/>
        <v>59</v>
      </c>
      <c r="B64" s="45">
        <v>725</v>
      </c>
      <c r="C64" s="46" t="str">
        <f>IF(ISERROR(VLOOKUP(B64,'START LİSTE'!$B$6:$F$1053,2,0)),"",VLOOKUP(B64,'START LİSTE'!$B$6:$F$1053,2,0))</f>
        <v>MERVE KOPAL</v>
      </c>
      <c r="D64" s="46" t="str">
        <f>IF(ISERROR(VLOOKUP(B64,'START LİSTE'!$B$6:$F$1053,3,0)),"",VLOOKUP(B64,'START LİSTE'!$B$6:$F$1053,3,0))</f>
        <v>KOCAELİ-DERİNCE BLD.SPOR</v>
      </c>
      <c r="E64" s="47" t="str">
        <f>IF(ISERROR(VLOOKUP(B64,'START LİSTE'!$B$6:$F$1053,4,0)),"",VLOOKUP(B64,'START LİSTE'!$B$6:$F$1053,4,0))</f>
        <v>F</v>
      </c>
      <c r="F64" s="48">
        <f>IF(ISERROR(VLOOKUP($B64,'START LİSTE'!$B$6:$F$1053,5,0)),"",VLOOKUP($B64,'START LİSTE'!$B$6:$F$1053,5,0))</f>
        <v>36990</v>
      </c>
      <c r="G64" s="146">
        <v>603</v>
      </c>
      <c r="H64" s="49">
        <f t="shared" si="1"/>
        <v>44</v>
      </c>
    </row>
    <row r="65" spans="1:8" ht="18" customHeight="1">
      <c r="A65" s="44">
        <f t="shared" si="0"/>
        <v>60</v>
      </c>
      <c r="B65" s="45">
        <v>686</v>
      </c>
      <c r="C65" s="46" t="str">
        <f>IF(ISERROR(VLOOKUP(B65,'START LİSTE'!$B$6:$F$1053,2,0)),"",VLOOKUP(B65,'START LİSTE'!$B$6:$F$1053,2,0))</f>
        <v>BERİVAN ÜRÜN</v>
      </c>
      <c r="D65" s="46" t="str">
        <f>IF(ISERROR(VLOOKUP(B65,'START LİSTE'!$B$6:$F$1053,3,0)),"",VLOOKUP(B65,'START LİSTE'!$B$6:$F$1053,3,0))</f>
        <v>İSTANBUL-ALBAYRAK SPOR</v>
      </c>
      <c r="E65" s="47" t="str">
        <f>IF(ISERROR(VLOOKUP(B65,'START LİSTE'!$B$6:$F$1053,4,0)),"",VLOOKUP(B65,'START LİSTE'!$B$6:$F$1053,4,0))</f>
        <v>T</v>
      </c>
      <c r="F65" s="48">
        <f>IF(ISERROR(VLOOKUP($B65,'START LİSTE'!$B$6:$F$1053,5,0)),"",VLOOKUP($B65,'START LİSTE'!$B$6:$F$1053,5,0))</f>
        <v>36892</v>
      </c>
      <c r="G65" s="146">
        <v>604</v>
      </c>
      <c r="H65" s="49">
        <f t="shared" si="1"/>
        <v>45</v>
      </c>
    </row>
    <row r="66" spans="1:8" ht="18" customHeight="1">
      <c r="A66" s="44">
        <f t="shared" si="0"/>
        <v>61</v>
      </c>
      <c r="B66" s="45">
        <v>682</v>
      </c>
      <c r="C66" s="46" t="str">
        <f>IF(ISERROR(VLOOKUP(B66,'START LİSTE'!$B$6:$F$1053,2,0)),"",VLOOKUP(B66,'START LİSTE'!$B$6:$F$1053,2,0))</f>
        <v>FİLİZ SUSAMİŞLEYEN</v>
      </c>
      <c r="D66" s="46" t="str">
        <f>IF(ISERROR(VLOOKUP(B66,'START LİSTE'!$B$6:$F$1053,3,0)),"",VLOOKUP(B66,'START LİSTE'!$B$6:$F$1053,3,0))</f>
        <v>EDİRNE GENÇLİK SPOR KULÜBÜ</v>
      </c>
      <c r="E66" s="47" t="str">
        <f>IF(ISERROR(VLOOKUP(B66,'START LİSTE'!$B$6:$F$1053,4,0)),"",VLOOKUP(B66,'START LİSTE'!$B$6:$F$1053,4,0))</f>
        <v>T</v>
      </c>
      <c r="F66" s="48">
        <f>IF(ISERROR(VLOOKUP($B66,'START LİSTE'!$B$6:$F$1053,5,0)),"",VLOOKUP($B66,'START LİSTE'!$B$6:$F$1053,5,0))</f>
        <v>36526</v>
      </c>
      <c r="G66" s="146">
        <v>604</v>
      </c>
      <c r="H66" s="49">
        <f t="shared" si="1"/>
        <v>46</v>
      </c>
    </row>
    <row r="67" spans="1:8" ht="18" customHeight="1">
      <c r="A67" s="44">
        <f t="shared" si="0"/>
        <v>62</v>
      </c>
      <c r="B67" s="45">
        <v>806</v>
      </c>
      <c r="C67" s="46" t="str">
        <f>IF(ISERROR(VLOOKUP(B67,'START LİSTE'!$B$6:$F$1053,2,0)),"",VLOOKUP(B67,'START LİSTE'!$B$6:$F$1053,2,0))</f>
        <v>HİLAL ÇAKICI</v>
      </c>
      <c r="D67" s="46" t="str">
        <f>IF(ISERROR(VLOOKUP(B67,'START LİSTE'!$B$6:$F$1053,3,0)),"",VLOOKUP(B67,'START LİSTE'!$B$6:$F$1053,3,0))</f>
        <v>KIRKLERELİ GENÇLİK SPOR</v>
      </c>
      <c r="E67" s="47" t="str">
        <f>IF(ISERROR(VLOOKUP(B67,'START LİSTE'!$B$6:$F$1053,4,0)),"",VLOOKUP(B67,'START LİSTE'!$B$6:$F$1053,4,0))</f>
        <v>T</v>
      </c>
      <c r="F67" s="48">
        <f>IF(ISERROR(VLOOKUP($B67,'START LİSTE'!$B$6:$F$1053,5,0)),"",VLOOKUP($B67,'START LİSTE'!$B$6:$F$1053,5,0))</f>
        <v>36161</v>
      </c>
      <c r="G67" s="146">
        <v>605</v>
      </c>
      <c r="H67" s="49">
        <f t="shared" si="1"/>
        <v>47</v>
      </c>
    </row>
    <row r="68" spans="1:8" ht="18" customHeight="1">
      <c r="A68" s="44">
        <f t="shared" si="0"/>
        <v>63</v>
      </c>
      <c r="B68" s="45">
        <v>752</v>
      </c>
      <c r="C68" s="46" t="str">
        <f>IF(ISERROR(VLOOKUP(B68,'START LİSTE'!$B$6:$F$1053,2,0)),"",VLOOKUP(B68,'START LİSTE'!$B$6:$F$1053,2,0))</f>
        <v>NEVAL İSRA KURT</v>
      </c>
      <c r="D68" s="46" t="str">
        <f>IF(ISERROR(VLOOKUP(B68,'START LİSTE'!$B$6:$F$1053,3,0)),"",VLOOKUP(B68,'START LİSTE'!$B$6:$F$1053,3,0))</f>
        <v>YALOVA - GHSK</v>
      </c>
      <c r="E68" s="47" t="str">
        <f>IF(ISERROR(VLOOKUP(B68,'START LİSTE'!$B$6:$F$1053,4,0)),"",VLOOKUP(B68,'START LİSTE'!$B$6:$F$1053,4,0))</f>
        <v>T</v>
      </c>
      <c r="F68" s="48">
        <f>IF(ISERROR(VLOOKUP($B68,'START LİSTE'!$B$6:$F$1053,5,0)),"",VLOOKUP($B68,'START LİSTE'!$B$6:$F$1053,5,0))</f>
        <v>36405</v>
      </c>
      <c r="G68" s="146">
        <v>606</v>
      </c>
      <c r="H68" s="49">
        <f t="shared" si="1"/>
        <v>48</v>
      </c>
    </row>
    <row r="69" spans="1:8" ht="18" customHeight="1">
      <c r="A69" s="44">
        <f t="shared" si="0"/>
        <v>64</v>
      </c>
      <c r="B69" s="45">
        <v>678</v>
      </c>
      <c r="C69" s="46" t="str">
        <f>IF(ISERROR(VLOOKUP(B69,'START LİSTE'!$B$6:$F$1053,2,0)),"",VLOOKUP(B69,'START LİSTE'!$B$6:$F$1053,2,0))</f>
        <v>FERİHAN BESLEN</v>
      </c>
      <c r="D69" s="46" t="str">
        <f>IF(ISERROR(VLOOKUP(B69,'START LİSTE'!$B$6:$F$1053,3,0)),"",VLOOKUP(B69,'START LİSTE'!$B$6:$F$1053,3,0))</f>
        <v>ÇANAKKALE/ ÇİÇEKLİDEDE SPOR</v>
      </c>
      <c r="E69" s="47" t="str">
        <f>IF(ISERROR(VLOOKUP(B69,'START LİSTE'!$B$6:$F$1053,4,0)),"",VLOOKUP(B69,'START LİSTE'!$B$6:$F$1053,4,0))</f>
        <v>T</v>
      </c>
      <c r="F69" s="48">
        <f>IF(ISERROR(VLOOKUP($B69,'START LİSTE'!$B$6:$F$1053,5,0)),"",VLOOKUP($B69,'START LİSTE'!$B$6:$F$1053,5,0))</f>
        <v>36760</v>
      </c>
      <c r="G69" s="146">
        <v>607</v>
      </c>
      <c r="H69" s="49">
        <f t="shared" si="1"/>
        <v>49</v>
      </c>
    </row>
    <row r="70" spans="1:8" ht="18" customHeight="1">
      <c r="A70" s="44">
        <f aca="true" t="shared" si="2" ref="A70:A90">IF(B70&lt;&gt;"",A69+1,"")</f>
        <v>65</v>
      </c>
      <c r="B70" s="45">
        <v>663</v>
      </c>
      <c r="C70" s="46" t="str">
        <f>IF(ISERROR(VLOOKUP(B70,'START LİSTE'!$B$6:$F$1053,2,0)),"",VLOOKUP(B70,'START LİSTE'!$B$6:$F$1053,2,0))</f>
        <v>GÜLAY UZUN</v>
      </c>
      <c r="D70" s="46" t="str">
        <f>IF(ISERROR(VLOOKUP(B70,'START LİSTE'!$B$6:$F$1053,3,0)),"",VLOOKUP(B70,'START LİSTE'!$B$6:$F$1053,3,0))</f>
        <v>BİLECİK-BOZÜYÜK ÇARŞI SPOR KULÜBÜ</v>
      </c>
      <c r="E70" s="47" t="str">
        <f>IF(ISERROR(VLOOKUP(B70,'START LİSTE'!$B$6:$F$1053,4,0)),"",VLOOKUP(B70,'START LİSTE'!$B$6:$F$1053,4,0))</f>
        <v>T</v>
      </c>
      <c r="F70" s="48">
        <f>IF(ISERROR(VLOOKUP($B70,'START LİSTE'!$B$6:$F$1053,5,0)),"",VLOOKUP($B70,'START LİSTE'!$B$6:$F$1053,5,0))</f>
        <v>37111</v>
      </c>
      <c r="G70" s="146">
        <v>608</v>
      </c>
      <c r="H70" s="49">
        <f aca="true" t="shared" si="3" ref="H70:H93">IF(OR(G70="DQ",G70="DNF",G70="DNS"),"-",IF(B70&lt;&gt;"",IF(E70="F",H69,H69+1),""))</f>
        <v>50</v>
      </c>
    </row>
    <row r="71" spans="1:8" ht="18" customHeight="1">
      <c r="A71" s="44">
        <f t="shared" si="2"/>
        <v>66</v>
      </c>
      <c r="B71" s="45">
        <v>740</v>
      </c>
      <c r="C71" s="46" t="str">
        <f>IF(ISERROR(VLOOKUP(B71,'START LİSTE'!$B$6:$F$1053,2,0)),"",VLOOKUP(B71,'START LİSTE'!$B$6:$F$1053,2,0))</f>
        <v>BUSE İSKENDER</v>
      </c>
      <c r="D71" s="46" t="str">
        <f>IF(ISERROR(VLOOKUP(B71,'START LİSTE'!$B$6:$F$1053,3,0)),"",VLOOKUP(B71,'START LİSTE'!$B$6:$F$1053,3,0))</f>
        <v>SAKARYA BÜYÜKŞEHİR BEL.</v>
      </c>
      <c r="E71" s="47" t="str">
        <f>IF(ISERROR(VLOOKUP(B71,'START LİSTE'!$B$6:$F$1053,4,0)),"",VLOOKUP(B71,'START LİSTE'!$B$6:$F$1053,4,0))</f>
        <v>T</v>
      </c>
      <c r="F71" s="48">
        <f>IF(ISERROR(VLOOKUP($B71,'START LİSTE'!$B$6:$F$1053,5,0)),"",VLOOKUP($B71,'START LİSTE'!$B$6:$F$1053,5,0))</f>
        <v>36747</v>
      </c>
      <c r="G71" s="146">
        <v>608</v>
      </c>
      <c r="H71" s="49">
        <f t="shared" si="3"/>
        <v>51</v>
      </c>
    </row>
    <row r="72" spans="1:8" ht="18" customHeight="1">
      <c r="A72" s="44">
        <f t="shared" si="2"/>
        <v>67</v>
      </c>
      <c r="B72" s="45">
        <v>685</v>
      </c>
      <c r="C72" s="46" t="str">
        <f>IF(ISERROR(VLOOKUP(B72,'START LİSTE'!$B$6:$F$1053,2,0)),"",VLOOKUP(B72,'START LİSTE'!$B$6:$F$1053,2,0))</f>
        <v>SEVGİ İME</v>
      </c>
      <c r="D72" s="46" t="str">
        <f>IF(ISERROR(VLOOKUP(B72,'START LİSTE'!$B$6:$F$1053,3,0)),"",VLOOKUP(B72,'START LİSTE'!$B$6:$F$1053,3,0))</f>
        <v>İSTANBUL-ALBAYRAK SPOR</v>
      </c>
      <c r="E72" s="47" t="str">
        <f>IF(ISERROR(VLOOKUP(B72,'START LİSTE'!$B$6:$F$1053,4,0)),"",VLOOKUP(B72,'START LİSTE'!$B$6:$F$1053,4,0))</f>
        <v>T</v>
      </c>
      <c r="F72" s="48">
        <f>IF(ISERROR(VLOOKUP($B72,'START LİSTE'!$B$6:$F$1053,5,0)),"",VLOOKUP($B72,'START LİSTE'!$B$6:$F$1053,5,0))</f>
        <v>36571</v>
      </c>
      <c r="G72" s="146">
        <v>609</v>
      </c>
      <c r="H72" s="49">
        <f t="shared" si="3"/>
        <v>52</v>
      </c>
    </row>
    <row r="73" spans="1:8" ht="18" customHeight="1">
      <c r="A73" s="44">
        <f t="shared" si="2"/>
        <v>68</v>
      </c>
      <c r="B73" s="45">
        <v>664</v>
      </c>
      <c r="C73" s="46" t="str">
        <f>IF(ISERROR(VLOOKUP(B73,'START LİSTE'!$B$6:$F$1053,2,0)),"",VLOOKUP(B73,'START LİSTE'!$B$6:$F$1053,2,0))</f>
        <v>ÇAĞLA TEYRAN</v>
      </c>
      <c r="D73" s="46" t="str">
        <f>IF(ISERROR(VLOOKUP(B73,'START LİSTE'!$B$6:$F$1053,3,0)),"",VLOOKUP(B73,'START LİSTE'!$B$6:$F$1053,3,0))</f>
        <v>BİLECİK-BOZÜYÜK ÇARŞI SPOR KULÜBÜ</v>
      </c>
      <c r="E73" s="47" t="str">
        <f>IF(ISERROR(VLOOKUP(B73,'START LİSTE'!$B$6:$F$1053,4,0)),"",VLOOKUP(B73,'START LİSTE'!$B$6:$F$1053,4,0))</f>
        <v>T</v>
      </c>
      <c r="F73" s="48">
        <f>IF(ISERROR(VLOOKUP($B73,'START LİSTE'!$B$6:$F$1053,5,0)),"",VLOOKUP($B73,'START LİSTE'!$B$6:$F$1053,5,0))</f>
        <v>36297</v>
      </c>
      <c r="G73" s="146">
        <v>610</v>
      </c>
      <c r="H73" s="49">
        <f t="shared" si="3"/>
        <v>53</v>
      </c>
    </row>
    <row r="74" spans="1:8" ht="18" customHeight="1">
      <c r="A74" s="44">
        <f t="shared" si="2"/>
        <v>69</v>
      </c>
      <c r="B74" s="45">
        <v>805</v>
      </c>
      <c r="C74" s="46" t="str">
        <f>IF(ISERROR(VLOOKUP(B74,'START LİSTE'!$B$6:$F$1053,2,0)),"",VLOOKUP(B74,'START LİSTE'!$B$6:$F$1053,2,0))</f>
        <v>AYŞE KILIÇ</v>
      </c>
      <c r="D74" s="46" t="str">
        <f>IF(ISERROR(VLOOKUP(B74,'START LİSTE'!$B$6:$F$1053,3,0)),"",VLOOKUP(B74,'START LİSTE'!$B$6:$F$1053,3,0))</f>
        <v>KIRKLERELİ GENÇLİK SPOR</v>
      </c>
      <c r="E74" s="47" t="str">
        <f>IF(ISERROR(VLOOKUP(B74,'START LİSTE'!$B$6:$F$1053,4,0)),"",VLOOKUP(B74,'START LİSTE'!$B$6:$F$1053,4,0))</f>
        <v>T</v>
      </c>
      <c r="F74" s="48">
        <f>IF(ISERROR(VLOOKUP($B74,'START LİSTE'!$B$6:$F$1053,5,0)),"",VLOOKUP($B74,'START LİSTE'!$B$6:$F$1053,5,0))</f>
        <v>36526</v>
      </c>
      <c r="G74" s="146">
        <v>611</v>
      </c>
      <c r="H74" s="49">
        <f t="shared" si="3"/>
        <v>54</v>
      </c>
    </row>
    <row r="75" spans="1:8" ht="18" customHeight="1">
      <c r="A75" s="44">
        <f t="shared" si="2"/>
        <v>70</v>
      </c>
      <c r="B75" s="45">
        <v>739</v>
      </c>
      <c r="C75" s="46" t="str">
        <f>IF(ISERROR(VLOOKUP(B75,'START LİSTE'!$B$6:$F$1053,2,0)),"",VLOOKUP(B75,'START LİSTE'!$B$6:$F$1053,2,0))</f>
        <v>İLAYDA BULUT</v>
      </c>
      <c r="D75" s="46" t="str">
        <f>IF(ISERROR(VLOOKUP(B75,'START LİSTE'!$B$6:$F$1053,3,0)),"",VLOOKUP(B75,'START LİSTE'!$B$6:$F$1053,3,0))</f>
        <v>SAKARYA BÜYÜKŞEHİR BEL.</v>
      </c>
      <c r="E75" s="47" t="str">
        <f>IF(ISERROR(VLOOKUP(B75,'START LİSTE'!$B$6:$F$1053,4,0)),"",VLOOKUP(B75,'START LİSTE'!$B$6:$F$1053,4,0))</f>
        <v>T</v>
      </c>
      <c r="F75" s="48">
        <f>IF(ISERROR(VLOOKUP($B75,'START LİSTE'!$B$6:$F$1053,5,0)),"",VLOOKUP($B75,'START LİSTE'!$B$6:$F$1053,5,0))</f>
        <v>36467</v>
      </c>
      <c r="G75" s="146">
        <v>611</v>
      </c>
      <c r="H75" s="49">
        <f t="shared" si="3"/>
        <v>55</v>
      </c>
    </row>
    <row r="76" spans="1:8" ht="18" customHeight="1">
      <c r="A76" s="44">
        <f t="shared" si="2"/>
        <v>71</v>
      </c>
      <c r="B76" s="45">
        <v>723</v>
      </c>
      <c r="C76" s="46" t="str">
        <f>IF(ISERROR(VLOOKUP(B76,'START LİSTE'!$B$6:$F$1053,2,0)),"",VLOOKUP(B76,'START LİSTE'!$B$6:$F$1053,2,0))</f>
        <v>SÜMEYYE EROL</v>
      </c>
      <c r="D76" s="46" t="str">
        <f>IF(ISERROR(VLOOKUP(B76,'START LİSTE'!$B$6:$F$1053,3,0)),"",VLOOKUP(B76,'START LİSTE'!$B$6:$F$1053,3,0))</f>
        <v>KOCAELİ- BÜYÜKŞEHİR BEL.KAĞITSPOR KULÜBÜ</v>
      </c>
      <c r="E76" s="47" t="str">
        <f>IF(ISERROR(VLOOKUP(B76,'START LİSTE'!$B$6:$F$1053,4,0)),"",VLOOKUP(B76,'START LİSTE'!$B$6:$F$1053,4,0))</f>
        <v>T</v>
      </c>
      <c r="F76" s="48">
        <f>IF(ISERROR(VLOOKUP($B76,'START LİSTE'!$B$6:$F$1053,5,0)),"",VLOOKUP($B76,'START LİSTE'!$B$6:$F$1053,5,0))</f>
        <v>36842</v>
      </c>
      <c r="G76" s="146">
        <v>612</v>
      </c>
      <c r="H76" s="49">
        <f t="shared" si="3"/>
        <v>56</v>
      </c>
    </row>
    <row r="77" spans="1:8" ht="18" customHeight="1">
      <c r="A77" s="44">
        <f t="shared" si="2"/>
        <v>72</v>
      </c>
      <c r="B77" s="45">
        <v>676</v>
      </c>
      <c r="C77" s="46" t="str">
        <f>IF(ISERROR(VLOOKUP(B77,'START LİSTE'!$B$6:$F$1053,2,0)),"",VLOOKUP(B77,'START LİSTE'!$B$6:$F$1053,2,0))</f>
        <v>BELİNAY DENİZ GÜZEL</v>
      </c>
      <c r="D77" s="46" t="str">
        <f>IF(ISERROR(VLOOKUP(B77,'START LİSTE'!$B$6:$F$1053,3,0)),"",VLOOKUP(B77,'START LİSTE'!$B$6:$F$1053,3,0))</f>
        <v>ÇANAKKALE BELEDİYESPOR</v>
      </c>
      <c r="E77" s="47" t="str">
        <f>IF(ISERROR(VLOOKUP(B77,'START LİSTE'!$B$6:$F$1053,4,0)),"",VLOOKUP(B77,'START LİSTE'!$B$6:$F$1053,4,0))</f>
        <v>T</v>
      </c>
      <c r="F77" s="48">
        <f>IF(ISERROR(VLOOKUP($B77,'START LİSTE'!$B$6:$F$1053,5,0)),"",VLOOKUP($B77,'START LİSTE'!$B$6:$F$1053,5,0))</f>
        <v>36161</v>
      </c>
      <c r="G77" s="146">
        <v>612</v>
      </c>
      <c r="H77" s="49">
        <f t="shared" si="3"/>
        <v>57</v>
      </c>
    </row>
    <row r="78" spans="1:8" ht="18" customHeight="1">
      <c r="A78" s="44">
        <f t="shared" si="2"/>
        <v>73</v>
      </c>
      <c r="B78" s="45">
        <v>661</v>
      </c>
      <c r="C78" s="46" t="str">
        <f>IF(ISERROR(VLOOKUP(B78,'START LİSTE'!$B$6:$F$1053,2,0)),"",VLOOKUP(B78,'START LİSTE'!$B$6:$F$1053,2,0))</f>
        <v>KADER KAYA</v>
      </c>
      <c r="D78" s="46" t="str">
        <f>IF(ISERROR(VLOOKUP(B78,'START LİSTE'!$B$6:$F$1053,3,0)),"",VLOOKUP(B78,'START LİSTE'!$B$6:$F$1053,3,0))</f>
        <v>BİLECİK-BOZÜYÜK ÇARŞI SPOR KULÜBÜ</v>
      </c>
      <c r="E78" s="47" t="str">
        <f>IF(ISERROR(VLOOKUP(B78,'START LİSTE'!$B$6:$F$1053,4,0)),"",VLOOKUP(B78,'START LİSTE'!$B$6:$F$1053,4,0))</f>
        <v>T</v>
      </c>
      <c r="F78" s="48">
        <f>IF(ISERROR(VLOOKUP($B78,'START LİSTE'!$B$6:$F$1053,5,0)),"",VLOOKUP($B78,'START LİSTE'!$B$6:$F$1053,5,0))</f>
        <v>37247</v>
      </c>
      <c r="G78" s="146">
        <v>614</v>
      </c>
      <c r="H78" s="49">
        <f t="shared" si="3"/>
        <v>58</v>
      </c>
    </row>
    <row r="79" spans="1:8" ht="18" customHeight="1">
      <c r="A79" s="44">
        <f t="shared" si="2"/>
        <v>74</v>
      </c>
      <c r="B79" s="45">
        <v>677</v>
      </c>
      <c r="C79" s="46" t="str">
        <f>IF(ISERROR(VLOOKUP(B79,'START LİSTE'!$B$6:$F$1053,2,0)),"",VLOOKUP(B79,'START LİSTE'!$B$6:$F$1053,2,0))</f>
        <v>GAMZE KAPLAN</v>
      </c>
      <c r="D79" s="46" t="str">
        <f>IF(ISERROR(VLOOKUP(B79,'START LİSTE'!$B$6:$F$1053,3,0)),"",VLOOKUP(B79,'START LİSTE'!$B$6:$F$1053,3,0))</f>
        <v>ÇANAKKALE/ ÇİÇEKLİDEDE SPOR</v>
      </c>
      <c r="E79" s="47" t="str">
        <f>IF(ISERROR(VLOOKUP(B79,'START LİSTE'!$B$6:$F$1053,4,0)),"",VLOOKUP(B79,'START LİSTE'!$B$6:$F$1053,4,0))</f>
        <v>T</v>
      </c>
      <c r="F79" s="48">
        <f>IF(ISERROR(VLOOKUP($B79,'START LİSTE'!$B$6:$F$1053,5,0)),"",VLOOKUP($B79,'START LİSTE'!$B$6:$F$1053,5,0))</f>
        <v>36798</v>
      </c>
      <c r="G79" s="146">
        <v>614</v>
      </c>
      <c r="H79" s="49">
        <f t="shared" si="3"/>
        <v>59</v>
      </c>
    </row>
    <row r="80" spans="1:8" ht="18" customHeight="1">
      <c r="A80" s="44">
        <f t="shared" si="2"/>
        <v>75</v>
      </c>
      <c r="B80" s="45">
        <v>804</v>
      </c>
      <c r="C80" s="46" t="str">
        <f>IF(ISERROR(VLOOKUP(B80,'START LİSTE'!$B$6:$F$1053,2,0)),"",VLOOKUP(B80,'START LİSTE'!$B$6:$F$1053,2,0))</f>
        <v>GAMZE TUNCAY</v>
      </c>
      <c r="D80" s="46" t="str">
        <f>IF(ISERROR(VLOOKUP(B80,'START LİSTE'!$B$6:$F$1053,3,0)),"",VLOOKUP(B80,'START LİSTE'!$B$6:$F$1053,3,0))</f>
        <v>KIRKLERELİ GENÇLİK SPOR</v>
      </c>
      <c r="E80" s="47" t="str">
        <f>IF(ISERROR(VLOOKUP(B80,'START LİSTE'!$B$6:$F$1053,4,0)),"",VLOOKUP(B80,'START LİSTE'!$B$6:$F$1053,4,0))</f>
        <v>T</v>
      </c>
      <c r="F80" s="48">
        <f>IF(ISERROR(VLOOKUP($B80,'START LİSTE'!$B$6:$F$1053,5,0)),"",VLOOKUP($B80,'START LİSTE'!$B$6:$F$1053,5,0))</f>
        <v>36892</v>
      </c>
      <c r="G80" s="146">
        <v>615</v>
      </c>
      <c r="H80" s="49">
        <f t="shared" si="3"/>
        <v>60</v>
      </c>
    </row>
    <row r="81" spans="1:8" ht="18" customHeight="1">
      <c r="A81" s="44">
        <f t="shared" si="2"/>
        <v>76</v>
      </c>
      <c r="B81" s="45">
        <v>751</v>
      </c>
      <c r="C81" s="46" t="str">
        <f>IF(ISERROR(VLOOKUP(B81,'START LİSTE'!$B$6:$F$1053,2,0)),"",VLOOKUP(B81,'START LİSTE'!$B$6:$F$1053,2,0))</f>
        <v>ŞEVVAL CENGİZ</v>
      </c>
      <c r="D81" s="46" t="str">
        <f>IF(ISERROR(VLOOKUP(B81,'START LİSTE'!$B$6:$F$1053,3,0)),"",VLOOKUP(B81,'START LİSTE'!$B$6:$F$1053,3,0))</f>
        <v>YALOVA - GHSK</v>
      </c>
      <c r="E81" s="47" t="str">
        <f>IF(ISERROR(VLOOKUP(B81,'START LİSTE'!$B$6:$F$1053,4,0)),"",VLOOKUP(B81,'START LİSTE'!$B$6:$F$1053,4,0))</f>
        <v>T</v>
      </c>
      <c r="F81" s="48">
        <f>IF(ISERROR(VLOOKUP($B81,'START LİSTE'!$B$6:$F$1053,5,0)),"",VLOOKUP($B81,'START LİSTE'!$B$6:$F$1053,5,0))</f>
        <v>37066</v>
      </c>
      <c r="G81" s="146">
        <v>615</v>
      </c>
      <c r="H81" s="49">
        <f t="shared" si="3"/>
        <v>61</v>
      </c>
    </row>
    <row r="82" spans="1:8" ht="18" customHeight="1">
      <c r="A82" s="44">
        <f t="shared" si="2"/>
        <v>77</v>
      </c>
      <c r="B82" s="45">
        <v>726</v>
      </c>
      <c r="C82" s="46" t="str">
        <f>IF(ISERROR(VLOOKUP(B82,'START LİSTE'!$B$6:$F$1053,2,0)),"",VLOOKUP(B82,'START LİSTE'!$B$6:$F$1053,2,0))</f>
        <v>MELEK YILANCI</v>
      </c>
      <c r="D82" s="46" t="str">
        <f>IF(ISERROR(VLOOKUP(B82,'START LİSTE'!$B$6:$F$1053,3,0)),"",VLOOKUP(B82,'START LİSTE'!$B$6:$F$1053,3,0))</f>
        <v>KOCAELİ-DERİNCE BLD.SPOR</v>
      </c>
      <c r="E82" s="47" t="str">
        <f>IF(ISERROR(VLOOKUP(B82,'START LİSTE'!$B$6:$F$1053,4,0)),"",VLOOKUP(B82,'START LİSTE'!$B$6:$F$1053,4,0))</f>
        <v>F</v>
      </c>
      <c r="F82" s="48">
        <f>IF(ISERROR(VLOOKUP($B82,'START LİSTE'!$B$6:$F$1053,5,0)),"",VLOOKUP($B82,'START LİSTE'!$B$6:$F$1053,5,0))</f>
        <v>36552</v>
      </c>
      <c r="G82" s="146">
        <v>617</v>
      </c>
      <c r="H82" s="49">
        <f t="shared" si="3"/>
        <v>61</v>
      </c>
    </row>
    <row r="83" spans="1:8" ht="18" customHeight="1">
      <c r="A83" s="44">
        <f t="shared" si="2"/>
        <v>78</v>
      </c>
      <c r="B83" s="45">
        <v>675</v>
      </c>
      <c r="C83" s="46" t="str">
        <f>IF(ISERROR(VLOOKUP(B83,'START LİSTE'!$B$6:$F$1053,2,0)),"",VLOOKUP(B83,'START LİSTE'!$B$6:$F$1053,2,0))</f>
        <v>ZEYNEP SANEM UZUN</v>
      </c>
      <c r="D83" s="46" t="str">
        <f>IF(ISERROR(VLOOKUP(B83,'START LİSTE'!$B$6:$F$1053,3,0)),"",VLOOKUP(B83,'START LİSTE'!$B$6:$F$1053,3,0))</f>
        <v>ÇANAKKALE BELEDİYESPOR</v>
      </c>
      <c r="E83" s="47" t="str">
        <f>IF(ISERROR(VLOOKUP(B83,'START LİSTE'!$B$6:$F$1053,4,0)),"",VLOOKUP(B83,'START LİSTE'!$B$6:$F$1053,4,0))</f>
        <v>T</v>
      </c>
      <c r="F83" s="48">
        <f>IF(ISERROR(VLOOKUP($B83,'START LİSTE'!$B$6:$F$1053,5,0)),"",VLOOKUP($B83,'START LİSTE'!$B$6:$F$1053,5,0))</f>
        <v>36892</v>
      </c>
      <c r="G83" s="146">
        <v>618</v>
      </c>
      <c r="H83" s="49">
        <f t="shared" si="3"/>
        <v>62</v>
      </c>
    </row>
    <row r="84" spans="1:8" ht="18" customHeight="1">
      <c r="A84" s="44">
        <f t="shared" si="2"/>
        <v>79</v>
      </c>
      <c r="B84" s="45">
        <v>747</v>
      </c>
      <c r="C84" s="46" t="str">
        <f>IF(ISERROR(VLOOKUP(B84,'START LİSTE'!$B$6:$F$1053,2,0)),"",VLOOKUP(B84,'START LİSTE'!$B$6:$F$1053,2,0))</f>
        <v>BÜŞRA ÇOBAN</v>
      </c>
      <c r="D84" s="46" t="str">
        <f>IF(ISERROR(VLOOKUP(B84,'START LİSTE'!$B$6:$F$1053,3,0)),"",VLOOKUP(B84,'START LİSTE'!$B$6:$F$1053,3,0))</f>
        <v>TEKİRDAĞ-GENÇLİK HİZMETLERİ KARMASI</v>
      </c>
      <c r="E84" s="47" t="str">
        <f>IF(ISERROR(VLOOKUP(B84,'START LİSTE'!$B$6:$F$1053,4,0)),"",VLOOKUP(B84,'START LİSTE'!$B$6:$F$1053,4,0))</f>
        <v>T</v>
      </c>
      <c r="F84" s="48">
        <f>IF(ISERROR(VLOOKUP($B84,'START LİSTE'!$B$6:$F$1053,5,0)),"",VLOOKUP($B84,'START LİSTE'!$B$6:$F$1053,5,0))</f>
        <v>36241</v>
      </c>
      <c r="G84" s="146">
        <v>636</v>
      </c>
      <c r="H84" s="49">
        <f t="shared" si="3"/>
        <v>63</v>
      </c>
    </row>
    <row r="85" spans="1:8" ht="18" customHeight="1">
      <c r="A85" s="44">
        <f t="shared" si="2"/>
        <v>80</v>
      </c>
      <c r="B85" s="45">
        <v>748</v>
      </c>
      <c r="C85" s="46" t="str">
        <f>IF(ISERROR(VLOOKUP(B85,'START LİSTE'!$B$6:$F$1053,2,0)),"",VLOOKUP(B85,'START LİSTE'!$B$6:$F$1053,2,0))</f>
        <v>İREM HACIFAZLIOĞLU</v>
      </c>
      <c r="D85" s="46" t="str">
        <f>IF(ISERROR(VLOOKUP(B85,'START LİSTE'!$B$6:$F$1053,3,0)),"",VLOOKUP(B85,'START LİSTE'!$B$6:$F$1053,3,0))</f>
        <v>TEKİRDAĞ-GENÇLİK HİZMETLERİ KARMASI</v>
      </c>
      <c r="E85" s="47" t="str">
        <f>IF(ISERROR(VLOOKUP(B85,'START LİSTE'!$B$6:$F$1053,4,0)),"",VLOOKUP(B85,'START LİSTE'!$B$6:$F$1053,4,0))</f>
        <v>T</v>
      </c>
      <c r="F85" s="48">
        <f>IF(ISERROR(VLOOKUP($B85,'START LİSTE'!$B$6:$F$1053,5,0)),"",VLOOKUP($B85,'START LİSTE'!$B$6:$F$1053,5,0))</f>
        <v>37032</v>
      </c>
      <c r="G85" s="146">
        <v>638</v>
      </c>
      <c r="H85" s="49">
        <f t="shared" si="3"/>
        <v>64</v>
      </c>
    </row>
    <row r="86" spans="1:8" ht="18" customHeight="1">
      <c r="A86" s="44">
        <f t="shared" si="2"/>
        <v>81</v>
      </c>
      <c r="B86" s="45">
        <v>679</v>
      </c>
      <c r="C86" s="46" t="str">
        <f>IF(ISERROR(VLOOKUP(B86,'START LİSTE'!$B$6:$F$1053,2,0)),"",VLOOKUP(B86,'START LİSTE'!$B$6:$F$1053,2,0))</f>
        <v>BÜŞRA AKBAŞ</v>
      </c>
      <c r="D86" s="46" t="str">
        <f>IF(ISERROR(VLOOKUP(B86,'START LİSTE'!$B$6:$F$1053,3,0)),"",VLOOKUP(B86,'START LİSTE'!$B$6:$F$1053,3,0))</f>
        <v>ÇANAKKALE/ ÇİÇEKLİDEDE SPOR</v>
      </c>
      <c r="E86" s="47" t="str">
        <f>IF(ISERROR(VLOOKUP(B86,'START LİSTE'!$B$6:$F$1053,4,0)),"",VLOOKUP(B86,'START LİSTE'!$B$6:$F$1053,4,0))</f>
        <v>T</v>
      </c>
      <c r="F86" s="48">
        <f>IF(ISERROR(VLOOKUP($B86,'START LİSTE'!$B$6:$F$1053,5,0)),"",VLOOKUP($B86,'START LİSTE'!$B$6:$F$1053,5,0))</f>
        <v>37106</v>
      </c>
      <c r="G86" s="146">
        <v>638</v>
      </c>
      <c r="H86" s="49">
        <f t="shared" si="3"/>
        <v>65</v>
      </c>
    </row>
    <row r="87" spans="1:8" ht="18" customHeight="1">
      <c r="A87" s="44">
        <f t="shared" si="2"/>
        <v>82</v>
      </c>
      <c r="B87" s="45">
        <v>662</v>
      </c>
      <c r="C87" s="46" t="str">
        <f>IF(ISERROR(VLOOKUP(B87,'START LİSTE'!$B$6:$F$1053,2,0)),"",VLOOKUP(B87,'START LİSTE'!$B$6:$F$1053,2,0))</f>
        <v>ELİF ÇETİN</v>
      </c>
      <c r="D87" s="46" t="str">
        <f>IF(ISERROR(VLOOKUP(B87,'START LİSTE'!$B$6:$F$1053,3,0)),"",VLOOKUP(B87,'START LİSTE'!$B$6:$F$1053,3,0))</f>
        <v>BİLECİK-BOZÜYÜK ÇARŞI SPOR KULÜBÜ</v>
      </c>
      <c r="E87" s="47" t="str">
        <f>IF(ISERROR(VLOOKUP(B87,'START LİSTE'!$B$6:$F$1053,4,0)),"",VLOOKUP(B87,'START LİSTE'!$B$6:$F$1053,4,0))</f>
        <v>T</v>
      </c>
      <c r="F87" s="48">
        <f>IF(ISERROR(VLOOKUP($B87,'START LİSTE'!$B$6:$F$1053,5,0)),"",VLOOKUP($B87,'START LİSTE'!$B$6:$F$1053,5,0))</f>
        <v>36913</v>
      </c>
      <c r="G87" s="146">
        <v>640</v>
      </c>
      <c r="H87" s="49">
        <f t="shared" si="3"/>
        <v>66</v>
      </c>
    </row>
    <row r="88" spans="1:8" ht="18" customHeight="1">
      <c r="A88" s="44">
        <f t="shared" si="2"/>
        <v>83</v>
      </c>
      <c r="B88" s="45">
        <v>687</v>
      </c>
      <c r="C88" s="46" t="str">
        <f>IF(ISERROR(VLOOKUP(B88,'START LİSTE'!$B$6:$F$1053,2,0)),"",VLOOKUP(B88,'START LİSTE'!$B$6:$F$1053,2,0))</f>
        <v>FATMANUR AYTEPE</v>
      </c>
      <c r="D88" s="46" t="str">
        <f>IF(ISERROR(VLOOKUP(B88,'START LİSTE'!$B$6:$F$1053,3,0)),"",VLOOKUP(B88,'START LİSTE'!$B$6:$F$1053,3,0))</f>
        <v>İSTANBUL-ALBAYRAK SPOR</v>
      </c>
      <c r="E88" s="47" t="str">
        <f>IF(ISERROR(VLOOKUP(B88,'START LİSTE'!$B$6:$F$1053,4,0)),"",VLOOKUP(B88,'START LİSTE'!$B$6:$F$1053,4,0))</f>
        <v>T</v>
      </c>
      <c r="F88" s="48">
        <f>IF(ISERROR(VLOOKUP($B88,'START LİSTE'!$B$6:$F$1053,5,0)),"",VLOOKUP($B88,'START LİSTE'!$B$6:$F$1053,5,0))</f>
        <v>36925</v>
      </c>
      <c r="G88" s="146">
        <v>641</v>
      </c>
      <c r="H88" s="49">
        <f t="shared" si="3"/>
        <v>67</v>
      </c>
    </row>
    <row r="89" spans="1:8" ht="18" customHeight="1">
      <c r="A89" s="44">
        <f t="shared" si="2"/>
        <v>84</v>
      </c>
      <c r="B89" s="45">
        <v>688</v>
      </c>
      <c r="C89" s="46" t="str">
        <f>IF(ISERROR(VLOOKUP(B89,'START LİSTE'!$B$6:$F$1053,2,0)),"",VLOOKUP(B89,'START LİSTE'!$B$6:$F$1053,2,0))</f>
        <v>BEHİYE GÜNDÜZ</v>
      </c>
      <c r="D89" s="46" t="str">
        <f>IF(ISERROR(VLOOKUP(B89,'START LİSTE'!$B$6:$F$1053,3,0)),"",VLOOKUP(B89,'START LİSTE'!$B$6:$F$1053,3,0))</f>
        <v>İSTANBUL-ALBAYRAK SPOR</v>
      </c>
      <c r="E89" s="47" t="str">
        <f>IF(ISERROR(VLOOKUP(B89,'START LİSTE'!$B$6:$F$1053,4,0)),"",VLOOKUP(B89,'START LİSTE'!$B$6:$F$1053,4,0))</f>
        <v>T</v>
      </c>
      <c r="F89" s="48">
        <f>IF(ISERROR(VLOOKUP($B89,'START LİSTE'!$B$6:$F$1053,5,0)),"",VLOOKUP($B89,'START LİSTE'!$B$6:$F$1053,5,0))</f>
        <v>36953</v>
      </c>
      <c r="G89" s="146">
        <v>644</v>
      </c>
      <c r="H89" s="49">
        <f t="shared" si="3"/>
        <v>68</v>
      </c>
    </row>
    <row r="90" spans="1:8" ht="18" customHeight="1">
      <c r="A90" s="44">
        <f t="shared" si="2"/>
        <v>85</v>
      </c>
      <c r="B90" s="45">
        <v>684</v>
      </c>
      <c r="C90" s="46" t="str">
        <f>IF(ISERROR(VLOOKUP(B90,'START LİSTE'!$B$6:$F$1053,2,0)),"",VLOOKUP(B90,'START LİSTE'!$B$6:$F$1053,2,0))</f>
        <v>HİLAL NUR TURAN</v>
      </c>
      <c r="D90" s="46" t="str">
        <f>IF(ISERROR(VLOOKUP(B90,'START LİSTE'!$B$6:$F$1053,3,0)),"",VLOOKUP(B90,'START LİSTE'!$B$6:$F$1053,3,0))</f>
        <v>EDİRNE GENÇLİK SPOR KULÜBÜ</v>
      </c>
      <c r="E90" s="47" t="str">
        <f>IF(ISERROR(VLOOKUP(B90,'START LİSTE'!$B$6:$F$1053,4,0)),"",VLOOKUP(B90,'START LİSTE'!$B$6:$F$1053,4,0))</f>
        <v>T</v>
      </c>
      <c r="F90" s="48">
        <f>IF(ISERROR(VLOOKUP($B90,'START LİSTE'!$B$6:$F$1053,5,0)),"",VLOOKUP($B90,'START LİSTE'!$B$6:$F$1053,5,0))</f>
        <v>37020</v>
      </c>
      <c r="G90" s="146">
        <v>742</v>
      </c>
      <c r="H90" s="49">
        <f t="shared" si="3"/>
        <v>69</v>
      </c>
    </row>
    <row r="91" spans="1:8" ht="18" customHeight="1">
      <c r="A91" s="44" t="s">
        <v>48</v>
      </c>
      <c r="B91" s="45">
        <v>683</v>
      </c>
      <c r="C91" s="46" t="str">
        <f>IF(ISERROR(VLOOKUP(B91,'START LİSTE'!$B$6:$F$1053,2,0)),"",VLOOKUP(B91,'START LİSTE'!$B$6:$F$1053,2,0))</f>
        <v>YAĞMUR VARDAR</v>
      </c>
      <c r="D91" s="46" t="str">
        <f>IF(ISERROR(VLOOKUP(B91,'START LİSTE'!$B$6:$F$1053,3,0)),"",VLOOKUP(B91,'START LİSTE'!$B$6:$F$1053,3,0))</f>
        <v>EDİRNE GENÇLİK SPOR KULÜBÜ</v>
      </c>
      <c r="E91" s="47" t="str">
        <f>IF(ISERROR(VLOOKUP(B91,'START LİSTE'!$B$6:$F$1053,4,0)),"",VLOOKUP(B91,'START LİSTE'!$B$6:$F$1053,4,0))</f>
        <v>T</v>
      </c>
      <c r="F91" s="48">
        <f>IF(ISERROR(VLOOKUP($B91,'START LİSTE'!$B$6:$F$1053,5,0)),"",VLOOKUP($B91,'START LİSTE'!$B$6:$F$1053,5,0))</f>
        <v>36161</v>
      </c>
      <c r="G91" s="146" t="s">
        <v>133</v>
      </c>
      <c r="H91" s="49" t="str">
        <f t="shared" si="3"/>
        <v>-</v>
      </c>
    </row>
    <row r="92" spans="1:8" ht="18" customHeight="1">
      <c r="A92" s="44" t="s">
        <v>48</v>
      </c>
      <c r="B92" s="45">
        <v>807</v>
      </c>
      <c r="C92" s="46" t="str">
        <f>IF(ISERROR(VLOOKUP(B92,'START LİSTE'!$B$6:$F$1053,2,0)),"",VLOOKUP(B92,'START LİSTE'!$B$6:$F$1053,2,0))</f>
        <v>ÖZNUR ÇEVİK</v>
      </c>
      <c r="D92" s="46" t="str">
        <f>IF(ISERROR(VLOOKUP(B92,'START LİSTE'!$B$6:$F$1053,3,0)),"",VLOOKUP(B92,'START LİSTE'!$B$6:$F$1053,3,0))</f>
        <v>KIRKLERELİ GENÇLİK SPOR</v>
      </c>
      <c r="E92" s="47" t="str">
        <f>IF(ISERROR(VLOOKUP(B92,'START LİSTE'!$B$6:$F$1053,4,0)),"",VLOOKUP(B92,'START LİSTE'!$B$6:$F$1053,4,0))</f>
        <v>T</v>
      </c>
      <c r="F92" s="48">
        <f>IF(ISERROR(VLOOKUP($B92,'START LİSTE'!$B$6:$F$1053,5,0)),"",VLOOKUP($B92,'START LİSTE'!$B$6:$F$1053,5,0))</f>
        <v>36892</v>
      </c>
      <c r="G92" s="146" t="s">
        <v>133</v>
      </c>
      <c r="H92" s="49" t="str">
        <f t="shared" si="3"/>
        <v>-</v>
      </c>
    </row>
    <row r="93" spans="1:8" ht="18" customHeight="1">
      <c r="A93" s="44" t="s">
        <v>48</v>
      </c>
      <c r="B93" s="45">
        <v>755</v>
      </c>
      <c r="C93" s="46" t="str">
        <f>IF(ISERROR(VLOOKUP(B93,'START LİSTE'!$B$6:$F$1053,2,0)),"",VLOOKUP(B93,'START LİSTE'!$B$6:$F$1053,2,0))</f>
        <v>KADER TOPRAK</v>
      </c>
      <c r="D93" s="46" t="str">
        <f>IF(ISERROR(VLOOKUP(B93,'START LİSTE'!$B$6:$F$1053,3,0)),"",VLOOKUP(B93,'START LİSTE'!$B$6:$F$1053,3,0))</f>
        <v>İSTANBUL-ÜSKÜDAR SPOR KULÜBÜ</v>
      </c>
      <c r="E93" s="47" t="str">
        <f>IF(ISERROR(VLOOKUP(B93,'START LİSTE'!$B$6:$F$1053,4,0)),"",VLOOKUP(B93,'START LİSTE'!$B$6:$F$1053,4,0))</f>
        <v>F</v>
      </c>
      <c r="F93" s="48">
        <f>IF(ISERROR(VLOOKUP($B93,'START LİSTE'!$B$6:$F$1053,5,0)),"",VLOOKUP($B93,'START LİSTE'!$B$6:$F$1053,5,0))</f>
        <v>36892</v>
      </c>
      <c r="G93" s="146" t="s">
        <v>134</v>
      </c>
      <c r="H93" s="49" t="str">
        <f t="shared" si="3"/>
        <v>-</v>
      </c>
    </row>
  </sheetData>
  <sheetProtection password="EE47" sheet="1"/>
  <mergeCells count="5">
    <mergeCell ref="A4:C4"/>
    <mergeCell ref="A1:H1"/>
    <mergeCell ref="A2:H2"/>
    <mergeCell ref="A3:H3"/>
    <mergeCell ref="F4:H4"/>
  </mergeCells>
  <conditionalFormatting sqref="H6:H93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93">
    <cfRule type="duplicateValues" priority="229" dxfId="13" stopIfTrue="1">
      <formula>AND(COUNTIF($B$6:$B$93,B6)&gt;1,NOT(ISBLANK(B6)))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52"/>
  <sheetViews>
    <sheetView view="pageBreakPreview" zoomScaleSheetLayoutView="100" zoomScalePageLayoutView="0" workbookViewId="0" topLeftCell="A61">
      <selection activeCell="A77" sqref="A77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23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75" t="str">
        <f>KAPAK!A2</f>
        <v>Türkiye Atletizm Federasyonu
TekirdağAtletizm İl Temsilciliği</v>
      </c>
      <c r="B1" s="175"/>
      <c r="C1" s="175"/>
      <c r="D1" s="175"/>
      <c r="E1" s="175"/>
      <c r="F1" s="175"/>
      <c r="G1" s="175"/>
      <c r="H1" s="175"/>
      <c r="I1" s="175"/>
      <c r="J1" s="175"/>
      <c r="BA1" s="2"/>
    </row>
    <row r="2" spans="1:53" s="1" customFormat="1" ht="18" customHeight="1">
      <c r="A2" s="176" t="str">
        <f>KAPAK!B24</f>
        <v>Küçükler ve Yıldızlar Bölgesel Kros Ligi 1.Kademe</v>
      </c>
      <c r="B2" s="176"/>
      <c r="C2" s="176"/>
      <c r="D2" s="176"/>
      <c r="E2" s="176"/>
      <c r="F2" s="176"/>
      <c r="G2" s="176"/>
      <c r="H2" s="176"/>
      <c r="I2" s="176"/>
      <c r="J2" s="176"/>
      <c r="BA2" s="2"/>
    </row>
    <row r="3" spans="1:53" s="1" customFormat="1" ht="14.25" customHeight="1">
      <c r="A3" s="177" t="str">
        <f>KAPAK!B27</f>
        <v>Tekirdağ</v>
      </c>
      <c r="B3" s="177"/>
      <c r="C3" s="177"/>
      <c r="D3" s="177"/>
      <c r="E3" s="177"/>
      <c r="F3" s="177"/>
      <c r="G3" s="177"/>
      <c r="H3" s="177"/>
      <c r="I3" s="177"/>
      <c r="J3" s="177"/>
      <c r="BA3" s="2"/>
    </row>
    <row r="4" spans="1:53" s="1" customFormat="1" ht="18" customHeight="1">
      <c r="A4" s="178" t="str">
        <f>KAPAK!B26</f>
        <v>Küçük Kızlar</v>
      </c>
      <c r="B4" s="178"/>
      <c r="C4" s="179" t="str">
        <f>KAPAK!B25</f>
        <v>1500 Metre</v>
      </c>
      <c r="D4" s="179"/>
      <c r="E4" s="180">
        <f>KAPAK!B28</f>
        <v>41672.416666666664</v>
      </c>
      <c r="F4" s="180"/>
      <c r="G4" s="180"/>
      <c r="H4" s="180"/>
      <c r="I4" s="180"/>
      <c r="J4" s="180"/>
      <c r="BA4" s="2"/>
    </row>
    <row r="5" spans="1:53" s="4" customFormat="1" ht="26.25" customHeight="1">
      <c r="A5" s="61" t="s">
        <v>5</v>
      </c>
      <c r="B5" s="54" t="s">
        <v>18</v>
      </c>
      <c r="C5" s="62" t="s">
        <v>1</v>
      </c>
      <c r="D5" s="54" t="s">
        <v>3</v>
      </c>
      <c r="E5" s="54" t="s">
        <v>8</v>
      </c>
      <c r="F5" s="54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661</v>
      </c>
      <c r="D6" s="8" t="str">
        <f>IF(ISERROR(VLOOKUP($C6,'START LİSTE'!$B$6:$F$825,2,0)),"",VLOOKUP($C6,'START LİSTE'!$B$6:$F$825,2,0))</f>
        <v>KADER KAYA</v>
      </c>
      <c r="E6" s="9" t="str">
        <f>IF(ISERROR(VLOOKUP($C6,'START LİSTE'!$B$6:$F$825,4,0)),"",VLOOKUP($C6,'START LİSTE'!$B$6:$F$825,4,0))</f>
        <v>T</v>
      </c>
      <c r="F6" s="10">
        <f>IF(ISERROR(VLOOKUP($C6,'FERDİ SONUÇ'!$B$6:$H$913,6,0)),"",VLOOKUP($C6,'FERDİ SONUÇ'!$B$6:$H$913,6,0))</f>
        <v>614</v>
      </c>
      <c r="G6" s="11">
        <f>IF(OR(E6="",F6="DQ",F6="DNF",F6="DNS",F6=""),"-",VLOOKUP(C6,'FERDİ SONUÇ'!$B$6:$H$913,7,0))</f>
        <v>58</v>
      </c>
      <c r="H6" s="11">
        <f>IF(OR(E6="",E6="F",F6="DQ",F6="DNF",F6="DNS",F6=""),"-",VLOOKUP(C6,'FERDİ SONUÇ'!$B$6:$H$913,7,0))</f>
        <v>58</v>
      </c>
      <c r="I6" s="12">
        <f>IF(ISERROR(SMALL(H6:H9,1)),"-",SMALL(H6:H9,1))</f>
        <v>50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662</v>
      </c>
      <c r="D7" s="16" t="str">
        <f>IF(ISERROR(VLOOKUP($C7,'START LİSTE'!$B$6:$F$825,2,0)),"",VLOOKUP($C7,'START LİSTE'!$B$6:$F$825,2,0))</f>
        <v>ELİF ÇETİN</v>
      </c>
      <c r="E7" s="17" t="str">
        <f>IF(ISERROR(VLOOKUP($C7,'START LİSTE'!$B$6:$F$825,4,0)),"",VLOOKUP($C7,'START LİSTE'!$B$6:$F$825,4,0))</f>
        <v>T</v>
      </c>
      <c r="F7" s="18">
        <f>IF(ISERROR(VLOOKUP($C7,'FERDİ SONUÇ'!$B$6:$H$913,6,0)),"",VLOOKUP($C7,'FERDİ SONUÇ'!$B$6:$H$913,6,0))</f>
        <v>640</v>
      </c>
      <c r="G7" s="19">
        <f>IF(OR(E7="",F7="DQ",F7="DNF",F7="DNS",F7=""),"-",VLOOKUP(C7,'FERDİ SONUÇ'!$B$6:$H$913,7,0))</f>
        <v>66</v>
      </c>
      <c r="H7" s="19">
        <f>IF(OR(E7="",E7="F",F7="DQ",F7="DNF",F7="DNS",F7=""),"-",VLOOKUP(C7,'FERDİ SONUÇ'!$B$6:$H$913,7,0))</f>
        <v>66</v>
      </c>
      <c r="I7" s="20">
        <f>IF(ISERROR(SMALL(H6:H9,2)),"-",SMALL(H6:H9,2))</f>
        <v>53</v>
      </c>
      <c r="J7" s="21"/>
      <c r="K7" s="3"/>
      <c r="BA7" s="2">
        <v>1001</v>
      </c>
    </row>
    <row r="8" spans="1:53" s="1" customFormat="1" ht="15" customHeight="1">
      <c r="A8" s="35">
        <v>15</v>
      </c>
      <c r="B8" s="15" t="str">
        <f>IF(ISERROR(VLOOKUP(C6,'START LİSTE'!$B$6:$F$825,3,0)),"",VLOOKUP(C6,'START LİSTE'!$B$6:$F$825,3,0))</f>
        <v>BİLECİK-BOZÜYÜK ÇARŞI SPOR KULÜBÜ</v>
      </c>
      <c r="C8" s="34">
        <v>663</v>
      </c>
      <c r="D8" s="16" t="str">
        <f>IF(ISERROR(VLOOKUP($C8,'START LİSTE'!$B$6:$F$825,2,0)),"",VLOOKUP($C8,'START LİSTE'!$B$6:$F$825,2,0))</f>
        <v>GÜLAY UZUN</v>
      </c>
      <c r="E8" s="17" t="str">
        <f>IF(ISERROR(VLOOKUP($C8,'START LİSTE'!$B$6:$F$825,4,0)),"",VLOOKUP($C8,'START LİSTE'!$B$6:$F$825,4,0))</f>
        <v>T</v>
      </c>
      <c r="F8" s="18">
        <f>IF(ISERROR(VLOOKUP($C8,'FERDİ SONUÇ'!$B$6:$H$913,6,0)),"",VLOOKUP($C8,'FERDİ SONUÇ'!$B$6:$H$913,6,0))</f>
        <v>608</v>
      </c>
      <c r="G8" s="19">
        <f>IF(OR(E8="",F8="DQ",F8="DNF",F8="DNS",F8=""),"-",VLOOKUP(C8,'FERDİ SONUÇ'!$B$6:$H$913,7,0))</f>
        <v>50</v>
      </c>
      <c r="H8" s="19">
        <f>IF(OR(E8="",E8="F",F8="DQ",F8="DNF",F8="DNS",F8=""),"-",VLOOKUP(C8,'FERDİ SONUÇ'!$B$6:$H$913,7,0))</f>
        <v>50</v>
      </c>
      <c r="I8" s="20">
        <f>IF(ISERROR(SMALL(H6:H9,3)),"-",SMALL(H6:H9,3))</f>
        <v>58</v>
      </c>
      <c r="J8" s="22">
        <f>IF(C6="","",IF(OR(I6="-",I7="-",I8="-"),"DQ",SUM(I6,I7,I8)))</f>
        <v>161</v>
      </c>
      <c r="K8" s="3"/>
      <c r="BA8" s="2">
        <v>1002</v>
      </c>
    </row>
    <row r="9" spans="1:53" s="1" customFormat="1" ht="15" customHeight="1">
      <c r="A9" s="14"/>
      <c r="B9" s="15"/>
      <c r="C9" s="34">
        <v>664</v>
      </c>
      <c r="D9" s="16" t="str">
        <f>IF(ISERROR(VLOOKUP($C9,'START LİSTE'!$B$6:$F$825,2,0)),"",VLOOKUP($C9,'START LİSTE'!$B$6:$F$825,2,0))</f>
        <v>ÇAĞLA TEYRAN</v>
      </c>
      <c r="E9" s="17" t="str">
        <f>IF(ISERROR(VLOOKUP($C9,'START LİSTE'!$B$6:$F$825,4,0)),"",VLOOKUP($C9,'START LİSTE'!$B$6:$F$825,4,0))</f>
        <v>T</v>
      </c>
      <c r="F9" s="18">
        <f>IF(ISERROR(VLOOKUP($C9,'FERDİ SONUÇ'!$B$6:$H$913,6,0)),"",VLOOKUP($C9,'FERDİ SONUÇ'!$B$6:$H$913,6,0))</f>
        <v>610</v>
      </c>
      <c r="G9" s="19">
        <f>IF(OR(E9="",F9="DQ",F9="DNF",F9="DNS",F9=""),"-",VLOOKUP(C9,'FERDİ SONUÇ'!$B$6:$H$913,7,0))</f>
        <v>53</v>
      </c>
      <c r="H9" s="19">
        <f>IF(OR(E9="",E9="F",F9="DQ",F9="DNF",F9="DNS",F9=""),"-",VLOOKUP(C9,'FERDİ SONUÇ'!$B$6:$H$913,7,0))</f>
        <v>53</v>
      </c>
      <c r="I9" s="20">
        <f>IF(ISERROR(SMALL(H6:H9,4)),"-",SMALL(H6:H9,4))</f>
        <v>66</v>
      </c>
      <c r="J9" s="21"/>
      <c r="K9" s="3"/>
      <c r="BA9" s="2">
        <v>1003</v>
      </c>
    </row>
    <row r="10" spans="1:53" ht="15" customHeight="1">
      <c r="A10" s="6"/>
      <c r="B10" s="7"/>
      <c r="C10" s="33">
        <v>665</v>
      </c>
      <c r="D10" s="8" t="str">
        <f>IF(ISERROR(VLOOKUP($C10,'START LİSTE'!$B$6:$F$825,2,0)),"",VLOOKUP($C10,'START LİSTE'!$B$6:$F$825,2,0))</f>
        <v>MERVE KAPLAN</v>
      </c>
      <c r="E10" s="9" t="str">
        <f>IF(ISERROR(VLOOKUP($C10,'START LİSTE'!$B$6:$F$825,4,0)),"",VLOOKUP($C10,'START LİSTE'!$B$6:$F$825,4,0))</f>
        <v>T</v>
      </c>
      <c r="F10" s="10">
        <f>IF(ISERROR(VLOOKUP($C10,'FERDİ SONUÇ'!$B$6:$H$913,6,0)),"",VLOOKUP($C10,'FERDİ SONUÇ'!$B$6:$H$913,6,0))</f>
        <v>502</v>
      </c>
      <c r="G10" s="11">
        <f>IF(OR(E10="",F10="DQ",F10="DNF",F10="DNS",F10=""),"-",VLOOKUP(C10,'FERDİ SONUÇ'!$B$6:$H$913,7,0))</f>
        <v>3</v>
      </c>
      <c r="H10" s="11">
        <f>IF(OR(E10="",E10="F",F10="DQ",F10="DNF",F10="DNS",F10=""),"-",VLOOKUP(C10,'FERDİ SONUÇ'!$B$6:$H$913,7,0))</f>
        <v>3</v>
      </c>
      <c r="I10" s="12">
        <f>IF(ISERROR(SMALL(H10:H13,1)),"-",SMALL(H10:H13,1))</f>
        <v>3</v>
      </c>
      <c r="J10" s="13"/>
      <c r="BA10" s="2">
        <v>1006</v>
      </c>
    </row>
    <row r="11" spans="1:53" ht="15" customHeight="1">
      <c r="A11" s="14"/>
      <c r="B11" s="15"/>
      <c r="C11" s="34">
        <v>666</v>
      </c>
      <c r="D11" s="16" t="str">
        <f>IF(ISERROR(VLOOKUP($C11,'START LİSTE'!$B$6:$F$825,2,0)),"",VLOOKUP($C11,'START LİSTE'!$B$6:$F$825,2,0))</f>
        <v>LEYLA YANARDAĞ</v>
      </c>
      <c r="E11" s="17" t="str">
        <f>IF(ISERROR(VLOOKUP($C11,'START LİSTE'!$B$6:$F$825,4,0)),"",VLOOKUP($C11,'START LİSTE'!$B$6:$F$825,4,0))</f>
        <v>T</v>
      </c>
      <c r="F11" s="18">
        <f>IF(ISERROR(VLOOKUP($C11,'FERDİ SONUÇ'!$B$6:$H$913,6,0)),"",VLOOKUP($C11,'FERDİ SONUÇ'!$B$6:$H$913,6,0))</f>
        <v>505</v>
      </c>
      <c r="G11" s="19">
        <f>IF(OR(E11="",F11="DQ",F11="DNF",F11="DNS",F11=""),"-",VLOOKUP(C11,'FERDİ SONUÇ'!$B$6:$H$913,7,0))</f>
        <v>4</v>
      </c>
      <c r="H11" s="19">
        <f>IF(OR(E11="",E11="F",F11="DQ",F11="DNF",F11="DNS",F11=""),"-",VLOOKUP(C11,'FERDİ SONUÇ'!$B$6:$H$913,7,0))</f>
        <v>4</v>
      </c>
      <c r="I11" s="20">
        <f>IF(ISERROR(SMALL(H10:H13,2)),"-",SMALL(H10:H13,2))</f>
        <v>4</v>
      </c>
      <c r="J11" s="21"/>
      <c r="BA11" s="2">
        <v>1007</v>
      </c>
    </row>
    <row r="12" spans="1:53" ht="15" customHeight="1">
      <c r="A12" s="35">
        <f>IF(AND(B12&lt;&gt;"",J12&lt;&gt;"DQ"),COUNT(J$6:J$125)-(RANK(J12,J$6:J$125)+COUNTIF(J$6:J12,J12))+2,IF(C10&lt;&gt;"",BA12,""))</f>
        <v>3</v>
      </c>
      <c r="B12" s="15" t="str">
        <f>IF(ISERROR(VLOOKUP(C10,'START LİSTE'!$B$6:$F$825,3,0)),"",VLOOKUP(C10,'START LİSTE'!$B$6:$F$825,3,0))</f>
        <v>BURSA-BÜYÜKŞEHİR BEL.SPOR</v>
      </c>
      <c r="C12" s="34">
        <v>667</v>
      </c>
      <c r="D12" s="16" t="str">
        <f>IF(ISERROR(VLOOKUP($C12,'START LİSTE'!$B$6:$F$825,2,0)),"",VLOOKUP($C12,'START LİSTE'!$B$6:$F$825,2,0))</f>
        <v>JİYAN ÖNER</v>
      </c>
      <c r="E12" s="17" t="str">
        <f>IF(ISERROR(VLOOKUP($C12,'START LİSTE'!$B$6:$F$825,4,0)),"",VLOOKUP($C12,'START LİSTE'!$B$6:$F$825,4,0))</f>
        <v>T</v>
      </c>
      <c r="F12" s="18">
        <f>IF(ISERROR(VLOOKUP($C12,'FERDİ SONUÇ'!$B$6:$H$913,6,0)),"",VLOOKUP($C12,'FERDİ SONUÇ'!$B$6:$H$913,6,0))</f>
        <v>533</v>
      </c>
      <c r="G12" s="19">
        <f>IF(OR(E12="",F12="DQ",F12="DNF",F12="DNS",F12=""),"-",VLOOKUP(C12,'FERDİ SONUÇ'!$B$6:$H$913,7,0))</f>
        <v>26</v>
      </c>
      <c r="H12" s="19">
        <f>IF(OR(E12="",E12="F",F12="DQ",F12="DNF",F12="DNS",F12=""),"-",VLOOKUP(C12,'FERDİ SONUÇ'!$B$6:$H$913,7,0))</f>
        <v>26</v>
      </c>
      <c r="I12" s="20">
        <f>IF(ISERROR(SMALL(H10:H13,3)),"-",SMALL(H10:H13,3))</f>
        <v>16</v>
      </c>
      <c r="J12" s="22">
        <f>IF(C10="","",IF(OR(I10="-",I11="-",I12="-"),"DQ",SUM(I10,I11,I12)))</f>
        <v>23</v>
      </c>
      <c r="BA12" s="2">
        <v>1008</v>
      </c>
    </row>
    <row r="13" spans="1:53" ht="15" customHeight="1">
      <c r="A13" s="14"/>
      <c r="B13" s="15"/>
      <c r="C13" s="34">
        <v>668</v>
      </c>
      <c r="D13" s="16" t="str">
        <f>IF(ISERROR(VLOOKUP($C13,'START LİSTE'!$B$6:$F$825,2,0)),"",VLOOKUP($C13,'START LİSTE'!$B$6:$F$825,2,0))</f>
        <v>HİDAYET ZEYNEP SÜMEN</v>
      </c>
      <c r="E13" s="17" t="str">
        <f>IF(ISERROR(VLOOKUP($C13,'START LİSTE'!$B$6:$F$825,4,0)),"",VLOOKUP($C13,'START LİSTE'!$B$6:$F$825,4,0))</f>
        <v>T</v>
      </c>
      <c r="F13" s="18">
        <f>IF(ISERROR(VLOOKUP($C13,'FERDİ SONUÇ'!$B$6:$H$913,6,0)),"",VLOOKUP($C13,'FERDİ SONUÇ'!$B$6:$H$913,6,0))</f>
        <v>521</v>
      </c>
      <c r="G13" s="19">
        <f>IF(OR(E13="",F13="DQ",F13="DNF",F13="DNS",F13=""),"-",VLOOKUP(C13,'FERDİ SONUÇ'!$B$6:$H$913,7,0))</f>
        <v>16</v>
      </c>
      <c r="H13" s="19">
        <f>IF(OR(E13="",E13="F",F13="DQ",F13="DNF",F13="DNS",F13=""),"-",VLOOKUP(C13,'FERDİ SONUÇ'!$B$6:$H$913,7,0))</f>
        <v>16</v>
      </c>
      <c r="I13" s="20">
        <f>IF(ISERROR(SMALL(H10:H13,4)),"-",SMALL(H10:H13,4))</f>
        <v>26</v>
      </c>
      <c r="J13" s="21"/>
      <c r="BA13" s="2">
        <v>1009</v>
      </c>
    </row>
    <row r="14" spans="1:53" ht="15" customHeight="1">
      <c r="A14" s="6"/>
      <c r="B14" s="7"/>
      <c r="C14" s="33">
        <v>669</v>
      </c>
      <c r="D14" s="8" t="str">
        <f>IF(ISERROR(VLOOKUP($C14,'START LİSTE'!$B$6:$F$825,2,0)),"",VLOOKUP($C14,'START LİSTE'!$B$6:$F$825,2,0))</f>
        <v>ESLEM GEZEN</v>
      </c>
      <c r="E14" s="9" t="str">
        <f>IF(ISERROR(VLOOKUP($C14,'START LİSTE'!$B$6:$F$825,4,0)),"",VLOOKUP($C14,'START LİSTE'!$B$6:$F$825,4,0))</f>
        <v>T</v>
      </c>
      <c r="F14" s="10">
        <f>IF(ISERROR(VLOOKUP($C14,'FERDİ SONUÇ'!$B$6:$H$913,6,0)),"",VLOOKUP($C14,'FERDİ SONUÇ'!$B$6:$H$913,6,0))</f>
        <v>513</v>
      </c>
      <c r="G14" s="11">
        <f>IF(OR(E14="",F14="DQ",F14="DNF",F14="DNS",F14=""),"-",VLOOKUP(C14,'FERDİ SONUÇ'!$B$6:$H$913,7,0))</f>
        <v>9</v>
      </c>
      <c r="H14" s="11">
        <f>IF(OR(E14="",E14="F",F14="DQ",F14="DNF",F14="DNS",F14=""),"-",VLOOKUP(C14,'FERDİ SONUÇ'!$B$6:$H$913,7,0))</f>
        <v>9</v>
      </c>
      <c r="I14" s="12">
        <f>IF(ISERROR(SMALL(H14:H17,1)),"-",SMALL(H14:H17,1))</f>
        <v>7</v>
      </c>
      <c r="J14" s="13"/>
      <c r="BA14" s="2">
        <v>1012</v>
      </c>
    </row>
    <row r="15" spans="1:53" ht="15" customHeight="1">
      <c r="A15" s="14"/>
      <c r="B15" s="15"/>
      <c r="C15" s="34">
        <v>670</v>
      </c>
      <c r="D15" s="16" t="str">
        <f>IF(ISERROR(VLOOKUP($C15,'START LİSTE'!$B$6:$F$825,2,0)),"",VLOOKUP($C15,'START LİSTE'!$B$6:$F$825,2,0))</f>
        <v>AZİME ALAN</v>
      </c>
      <c r="E15" s="17" t="str">
        <f>IF(ISERROR(VLOOKUP($C15,'START LİSTE'!$B$6:$F$825,4,0)),"",VLOOKUP($C15,'START LİSTE'!$B$6:$F$825,4,0))</f>
        <v>T</v>
      </c>
      <c r="F15" s="18">
        <f>IF(ISERROR(VLOOKUP($C15,'FERDİ SONUÇ'!$B$6:$H$913,6,0)),"",VLOOKUP($C15,'FERDİ SONUÇ'!$B$6:$H$913,6,0))</f>
        <v>516</v>
      </c>
      <c r="G15" s="19">
        <f>IF(OR(E15="",F15="DQ",F15="DNF",F15="DNS",F15=""),"-",VLOOKUP(C15,'FERDİ SONUÇ'!$B$6:$H$913,7,0))</f>
        <v>12</v>
      </c>
      <c r="H15" s="19">
        <f>IF(OR(E15="",E15="F",F15="DQ",F15="DNF",F15="DNS",F15=""),"-",VLOOKUP(C15,'FERDİ SONUÇ'!$B$6:$H$913,7,0))</f>
        <v>12</v>
      </c>
      <c r="I15" s="20">
        <f>IF(ISERROR(SMALL(H14:H17,2)),"-",SMALL(H14:H17,2))</f>
        <v>9</v>
      </c>
      <c r="J15" s="21"/>
      <c r="BA15" s="2">
        <v>1013</v>
      </c>
    </row>
    <row r="16" spans="1:53" ht="15" customHeight="1">
      <c r="A16" s="35">
        <f>IF(AND(B16&lt;&gt;"",J16&lt;&gt;"DQ"),COUNT(J$6:J$125)-(RANK(J16,J$6:J$125)+COUNTIF(J$6:J16,J16))+2,IF(C14&lt;&gt;"",BA16,""))</f>
        <v>4</v>
      </c>
      <c r="B16" s="15" t="str">
        <f>IF(ISERROR(VLOOKUP(C14,'START LİSTE'!$B$6:$F$825,3,0)),"",VLOOKUP(C14,'START LİSTE'!$B$6:$F$825,3,0))</f>
        <v>BURSA-OSMANGAZİ BLD.SPOR KLB.</v>
      </c>
      <c r="C16" s="34">
        <v>671</v>
      </c>
      <c r="D16" s="16" t="str">
        <f>IF(ISERROR(VLOOKUP($C16,'START LİSTE'!$B$6:$F$825,2,0)),"",VLOOKUP($C16,'START LİSTE'!$B$6:$F$825,2,0))</f>
        <v>GÖKÇE KARACA</v>
      </c>
      <c r="E16" s="17" t="str">
        <f>IF(ISERROR(VLOOKUP($C16,'START LİSTE'!$B$6:$F$825,4,0)),"",VLOOKUP($C16,'START LİSTE'!$B$6:$F$825,4,0))</f>
        <v>T</v>
      </c>
      <c r="F16" s="18">
        <f>IF(ISERROR(VLOOKUP($C16,'FERDİ SONUÇ'!$B$6:$H$913,6,0)),"",VLOOKUP($C16,'FERDİ SONUÇ'!$B$6:$H$913,6,0))</f>
        <v>510</v>
      </c>
      <c r="G16" s="19">
        <f>IF(OR(E16="",F16="DQ",F16="DNF",F16="DNS",F16=""),"-",VLOOKUP(C16,'FERDİ SONUÇ'!$B$6:$H$913,7,0))</f>
        <v>7</v>
      </c>
      <c r="H16" s="19">
        <f>IF(OR(E16="",E16="F",F16="DQ",F16="DNF",F16="DNS",F16=""),"-",VLOOKUP(C16,'FERDİ SONUÇ'!$B$6:$H$913,7,0))</f>
        <v>7</v>
      </c>
      <c r="I16" s="20">
        <f>IF(ISERROR(SMALL(H14:H17,3)),"-",SMALL(H14:H17,3))</f>
        <v>12</v>
      </c>
      <c r="J16" s="22">
        <f>IF(C14="","",IF(OR(I14="-",I15="-",I16="-"),"DQ",SUM(I14,I15,I16)))</f>
        <v>28</v>
      </c>
      <c r="BA16" s="2">
        <v>1014</v>
      </c>
    </row>
    <row r="17" spans="1:53" ht="15" customHeight="1">
      <c r="A17" s="14"/>
      <c r="B17" s="15"/>
      <c r="C17" s="34">
        <v>672</v>
      </c>
      <c r="D17" s="16" t="str">
        <f>IF(ISERROR(VLOOKUP($C17,'START LİSTE'!$B$6:$F$825,2,0)),"",VLOOKUP($C17,'START LİSTE'!$B$6:$F$825,2,0))</f>
        <v>İREM KOÇ</v>
      </c>
      <c r="E17" s="17" t="str">
        <f>IF(ISERROR(VLOOKUP($C17,'START LİSTE'!$B$6:$F$825,4,0)),"",VLOOKUP($C17,'START LİSTE'!$B$6:$F$825,4,0))</f>
        <v>T</v>
      </c>
      <c r="F17" s="18">
        <f>IF(ISERROR(VLOOKUP($C17,'FERDİ SONUÇ'!$B$6:$H$913,6,0)),"",VLOOKUP($C17,'FERDİ SONUÇ'!$B$6:$H$913,6,0))</f>
        <v>547</v>
      </c>
      <c r="G17" s="19">
        <f>IF(OR(E17="",F17="DQ",F17="DNF",F17="DNS",F17=""),"-",VLOOKUP(C17,'FERDİ SONUÇ'!$B$6:$H$913,7,0))</f>
        <v>35</v>
      </c>
      <c r="H17" s="19">
        <f>IF(OR(E17="",E17="F",F17="DQ",F17="DNF",F17="DNS",F17=""),"-",VLOOKUP(C17,'FERDİ SONUÇ'!$B$6:$H$913,7,0))</f>
        <v>35</v>
      </c>
      <c r="I17" s="20">
        <f>IF(ISERROR(SMALL(H14:H17,4)),"-",SMALL(H14:H17,4))</f>
        <v>35</v>
      </c>
      <c r="J17" s="21"/>
      <c r="BA17" s="2">
        <v>1015</v>
      </c>
    </row>
    <row r="18" spans="1:53" ht="15" customHeight="1">
      <c r="A18" s="6"/>
      <c r="B18" s="7"/>
      <c r="C18" s="33">
        <v>673</v>
      </c>
      <c r="D18" s="8" t="str">
        <f>IF(ISERROR(VLOOKUP($C18,'START LİSTE'!$B$6:$F$825,2,0)),"",VLOOKUP($C18,'START LİSTE'!$B$6:$F$825,2,0))</f>
        <v>SİMGE MUĞLI</v>
      </c>
      <c r="E18" s="9" t="str">
        <f>IF(ISERROR(VLOOKUP($C18,'START LİSTE'!$B$6:$F$825,4,0)),"",VLOOKUP($C18,'START LİSTE'!$B$6:$F$825,4,0))</f>
        <v>T</v>
      </c>
      <c r="F18" s="10">
        <f>IF(ISERROR(VLOOKUP($C18,'FERDİ SONUÇ'!$B$6:$H$913,6,0)),"",VLOOKUP($C18,'FERDİ SONUÇ'!$B$6:$H$913,6,0))</f>
        <v>533</v>
      </c>
      <c r="G18" s="9">
        <f>IF(OR(E18="",F18="DQ",F18="DNF",F18="DNS",F18=""),"-",VLOOKUP(C18,'FERDİ SONUÇ'!$B$6:$H$913,7,0))</f>
        <v>25</v>
      </c>
      <c r="H18" s="9">
        <f>IF(OR(E18="",E18="F",F18="DQ",F18="DNF",F18="DNS",F18=""),"-",VLOOKUP(C18,'FERDİ SONUÇ'!$B$6:$H$913,7,0))</f>
        <v>25</v>
      </c>
      <c r="I18" s="12">
        <f>IF(ISERROR(SMALL(H18:H21,1)),"-",SMALL(H18:H21,1))</f>
        <v>25</v>
      </c>
      <c r="J18" s="13"/>
      <c r="BA18" s="2">
        <v>1018</v>
      </c>
    </row>
    <row r="19" spans="1:53" ht="15" customHeight="1">
      <c r="A19" s="14"/>
      <c r="B19" s="15"/>
      <c r="C19" s="34">
        <v>674</v>
      </c>
      <c r="D19" s="16" t="str">
        <f>IF(ISERROR(VLOOKUP($C19,'START LİSTE'!$B$6:$F$825,2,0)),"",VLOOKUP($C19,'START LİSTE'!$B$6:$F$825,2,0))</f>
        <v>MERVE ARSLAN</v>
      </c>
      <c r="E19" s="17" t="str">
        <f>IF(ISERROR(VLOOKUP($C19,'START LİSTE'!$B$6:$F$825,4,0)),"",VLOOKUP($C19,'START LİSTE'!$B$6:$F$825,4,0))</f>
        <v>T</v>
      </c>
      <c r="F19" s="18">
        <f>IF(ISERROR(VLOOKUP($C19,'FERDİ SONUÇ'!$B$6:$H$913,6,0)),"",VLOOKUP($C19,'FERDİ SONUÇ'!$B$6:$H$913,6,0))</f>
        <v>559</v>
      </c>
      <c r="G19" s="17">
        <f>IF(OR(E19="",F19="DQ",F19="DNF",F19="DNS",F19=""),"-",VLOOKUP(C19,'FERDİ SONUÇ'!$B$6:$H$913,7,0))</f>
        <v>42</v>
      </c>
      <c r="H19" s="17">
        <f>IF(OR(E19="",E19="F",F19="DQ",F19="DNF",F19="DNS",F19=""),"-",VLOOKUP(C19,'FERDİ SONUÇ'!$B$6:$H$913,7,0))</f>
        <v>42</v>
      </c>
      <c r="I19" s="20">
        <f>IF(ISERROR(SMALL(H18:H21,2)),"-",SMALL(H18:H21,2))</f>
        <v>42</v>
      </c>
      <c r="J19" s="21"/>
      <c r="BA19" s="2">
        <v>1019</v>
      </c>
    </row>
    <row r="20" spans="1:53" ht="15" customHeight="1">
      <c r="A20" s="35">
        <f>IF(AND(B20&lt;&gt;"",J20&lt;&gt;"DQ"),COUNT(J$6:J$125)-(RANK(J20,J$6:J$125)+COUNTIF(J$6:J20,J20))+2,IF(C18&lt;&gt;"",BA20,""))</f>
        <v>11</v>
      </c>
      <c r="B20" s="15" t="str">
        <f>IF(ISERROR(VLOOKUP(C18,'START LİSTE'!$B$6:$F$825,3,0)),"",VLOOKUP(C18,'START LİSTE'!$B$6:$F$825,3,0))</f>
        <v>ÇANAKKALE BELEDİYESPOR</v>
      </c>
      <c r="C20" s="34">
        <v>675</v>
      </c>
      <c r="D20" s="16" t="str">
        <f>IF(ISERROR(VLOOKUP($C20,'START LİSTE'!$B$6:$F$825,2,0)),"",VLOOKUP($C20,'START LİSTE'!$B$6:$F$825,2,0))</f>
        <v>ZEYNEP SANEM UZUN</v>
      </c>
      <c r="E20" s="17" t="str">
        <f>IF(ISERROR(VLOOKUP($C20,'START LİSTE'!$B$6:$F$825,4,0)),"",VLOOKUP($C20,'START LİSTE'!$B$6:$F$825,4,0))</f>
        <v>T</v>
      </c>
      <c r="F20" s="18">
        <f>IF(ISERROR(VLOOKUP($C20,'FERDİ SONUÇ'!$B$6:$H$913,6,0)),"",VLOOKUP($C20,'FERDİ SONUÇ'!$B$6:$H$913,6,0))</f>
        <v>618</v>
      </c>
      <c r="G20" s="17">
        <f>IF(OR(E20="",F20="DQ",F20="DNF",F20="DNS",F20=""),"-",VLOOKUP(C20,'FERDİ SONUÇ'!$B$6:$H$913,7,0))</f>
        <v>62</v>
      </c>
      <c r="H20" s="17">
        <f>IF(OR(E20="",E20="F",F20="DQ",F20="DNF",F20="DNS",F20=""),"-",VLOOKUP(C20,'FERDİ SONUÇ'!$B$6:$H$913,7,0))</f>
        <v>62</v>
      </c>
      <c r="I20" s="20">
        <f>IF(ISERROR(SMALL(H18:H21,3)),"-",SMALL(H18:H21,3))</f>
        <v>57</v>
      </c>
      <c r="J20" s="22">
        <f>IF(C18="","",IF(OR(I18="-",I19="-",I20="-"),"DQ",SUM(I18,I19,I20)))</f>
        <v>124</v>
      </c>
      <c r="BA20" s="2">
        <v>1020</v>
      </c>
    </row>
    <row r="21" spans="1:53" ht="15" customHeight="1">
      <c r="A21" s="14"/>
      <c r="B21" s="15"/>
      <c r="C21" s="34">
        <v>676</v>
      </c>
      <c r="D21" s="16" t="str">
        <f>IF(ISERROR(VLOOKUP($C21,'START LİSTE'!$B$6:$F$825,2,0)),"",VLOOKUP($C21,'START LİSTE'!$B$6:$F$825,2,0))</f>
        <v>BELİNAY DENİZ GÜZEL</v>
      </c>
      <c r="E21" s="17" t="str">
        <f>IF(ISERROR(VLOOKUP($C21,'START LİSTE'!$B$6:$F$825,4,0)),"",VLOOKUP($C21,'START LİSTE'!$B$6:$F$825,4,0))</f>
        <v>T</v>
      </c>
      <c r="F21" s="18">
        <f>IF(ISERROR(VLOOKUP($C21,'FERDİ SONUÇ'!$B$6:$H$913,6,0)),"",VLOOKUP($C21,'FERDİ SONUÇ'!$B$6:$H$913,6,0))</f>
        <v>612</v>
      </c>
      <c r="G21" s="17">
        <f>IF(OR(E21="",F21="DQ",F21="DNF",F21="DNS",F21=""),"-",VLOOKUP(C21,'FERDİ SONUÇ'!$B$6:$H$913,7,0))</f>
        <v>57</v>
      </c>
      <c r="H21" s="17">
        <f>IF(OR(E21="",E21="F",F21="DQ",F21="DNF",F21="DNS",F21=""),"-",VLOOKUP(C21,'FERDİ SONUÇ'!$B$6:$H$913,7,0))</f>
        <v>57</v>
      </c>
      <c r="I21" s="20">
        <f>IF(ISERROR(SMALL(H18:H21,4)),"-",SMALL(H18:H21,4))</f>
        <v>62</v>
      </c>
      <c r="J21" s="21"/>
      <c r="BA21" s="2">
        <v>1021</v>
      </c>
    </row>
    <row r="22" spans="1:53" ht="15" customHeight="1">
      <c r="A22" s="6"/>
      <c r="B22" s="7"/>
      <c r="C22" s="33">
        <v>677</v>
      </c>
      <c r="D22" s="8" t="str">
        <f>IF(ISERROR(VLOOKUP($C22,'START LİSTE'!$B$6:$F$825,2,0)),"",VLOOKUP($C22,'START LİSTE'!$B$6:$F$825,2,0))</f>
        <v>GAMZE KAPLAN</v>
      </c>
      <c r="E22" s="9" t="str">
        <f>IF(ISERROR(VLOOKUP($C22,'START LİSTE'!$B$6:$F$825,4,0)),"",VLOOKUP($C22,'START LİSTE'!$B$6:$F$825,4,0))</f>
        <v>T</v>
      </c>
      <c r="F22" s="10">
        <f>IF(ISERROR(VLOOKUP($C22,'FERDİ SONUÇ'!$B$6:$H$913,6,0)),"",VLOOKUP($C22,'FERDİ SONUÇ'!$B$6:$H$913,6,0))</f>
        <v>614</v>
      </c>
      <c r="G22" s="9">
        <f>IF(OR(E22="",F22="DQ",F22="DNF",F22="DNS",F22=""),"-",VLOOKUP(C22,'FERDİ SONUÇ'!$B$6:$H$913,7,0))</f>
        <v>59</v>
      </c>
      <c r="H22" s="9">
        <f>IF(OR(E22="",E22="F",F22="DQ",F22="DNF",F22="DNS",F22=""),"-",VLOOKUP(C22,'FERDİ SONUÇ'!$B$6:$H$913,7,0))</f>
        <v>59</v>
      </c>
      <c r="I22" s="12">
        <f>IF(ISERROR(SMALL(H22:H25,1)),"-",SMALL(H22:H25,1))</f>
        <v>49</v>
      </c>
      <c r="J22" s="13"/>
      <c r="BA22" s="2">
        <v>1024</v>
      </c>
    </row>
    <row r="23" spans="1:53" ht="15" customHeight="1">
      <c r="A23" s="14"/>
      <c r="B23" s="15"/>
      <c r="C23" s="34">
        <v>678</v>
      </c>
      <c r="D23" s="16" t="str">
        <f>IF(ISERROR(VLOOKUP($C23,'START LİSTE'!$B$6:$F$825,2,0)),"",VLOOKUP($C23,'START LİSTE'!$B$6:$F$825,2,0))</f>
        <v>FERİHAN BESLEN</v>
      </c>
      <c r="E23" s="17" t="str">
        <f>IF(ISERROR(VLOOKUP($C23,'START LİSTE'!$B$6:$F$825,4,0)),"",VLOOKUP($C23,'START LİSTE'!$B$6:$F$825,4,0))</f>
        <v>T</v>
      </c>
      <c r="F23" s="18">
        <f>IF(ISERROR(VLOOKUP($C23,'FERDİ SONUÇ'!$B$6:$H$913,6,0)),"",VLOOKUP($C23,'FERDİ SONUÇ'!$B$6:$H$913,6,0))</f>
        <v>607</v>
      </c>
      <c r="G23" s="17">
        <f>IF(OR(E23="",F23="DQ",F23="DNF",F23="DNS",F23=""),"-",VLOOKUP(C23,'FERDİ SONUÇ'!$B$6:$H$913,7,0))</f>
        <v>49</v>
      </c>
      <c r="H23" s="17">
        <f>IF(OR(E23="",E23="F",F23="DQ",F23="DNF",F23="DNS",F23=""),"-",VLOOKUP(C23,'FERDİ SONUÇ'!$B$6:$H$913,7,0))</f>
        <v>49</v>
      </c>
      <c r="I23" s="20">
        <f>IF(ISERROR(SMALL(H22:H25,2)),"-",SMALL(H22:H25,2))</f>
        <v>59</v>
      </c>
      <c r="J23" s="21"/>
      <c r="BA23" s="2">
        <v>1025</v>
      </c>
    </row>
    <row r="24" spans="1:53" ht="15" customHeight="1">
      <c r="A24" s="35">
        <f>IF(AND(B24&lt;&gt;"",J24&lt;&gt;"DQ"),COUNT(J$6:J$125)-(RANK(J24,J$6:J$125)+COUNTIF(J$6:J24,J24))+2,IF(C22&lt;&gt;"",BA24,""))</f>
        <v>18</v>
      </c>
      <c r="B24" s="15" t="str">
        <f>IF(ISERROR(VLOOKUP(C22,'START LİSTE'!$B$6:$F$825,3,0)),"",VLOOKUP(C22,'START LİSTE'!$B$6:$F$825,3,0))</f>
        <v>ÇANAKKALE/ ÇİÇEKLİDEDE SPOR</v>
      </c>
      <c r="C24" s="34">
        <v>679</v>
      </c>
      <c r="D24" s="16" t="str">
        <f>IF(ISERROR(VLOOKUP($C24,'START LİSTE'!$B$6:$F$825,2,0)),"",VLOOKUP($C24,'START LİSTE'!$B$6:$F$825,2,0))</f>
        <v>BÜŞRA AKBAŞ</v>
      </c>
      <c r="E24" s="17" t="str">
        <f>IF(ISERROR(VLOOKUP($C24,'START LİSTE'!$B$6:$F$825,4,0)),"",VLOOKUP($C24,'START LİSTE'!$B$6:$F$825,4,0))</f>
        <v>T</v>
      </c>
      <c r="F24" s="18">
        <f>IF(ISERROR(VLOOKUP($C24,'FERDİ SONUÇ'!$B$6:$H$913,6,0)),"",VLOOKUP($C24,'FERDİ SONUÇ'!$B$6:$H$913,6,0))</f>
        <v>638</v>
      </c>
      <c r="G24" s="17">
        <f>IF(OR(E24="",F24="DQ",F24="DNF",F24="DNS",F24=""),"-",VLOOKUP(C24,'FERDİ SONUÇ'!$B$6:$H$913,7,0))</f>
        <v>65</v>
      </c>
      <c r="H24" s="17">
        <f>IF(OR(E24="",E24="F",F24="DQ",F24="DNF",F24="DNS",F24=""),"-",VLOOKUP(C24,'FERDİ SONUÇ'!$B$6:$H$913,7,0))</f>
        <v>65</v>
      </c>
      <c r="I24" s="20">
        <f>IF(ISERROR(SMALL(H22:H25,3)),"-",SMALL(H22:H25,3))</f>
        <v>65</v>
      </c>
      <c r="J24" s="22">
        <f>IF(C22="","",IF(OR(I22="-",I23="-",I24="-"),"DQ",SUM(I22,I23,I24)))</f>
        <v>173</v>
      </c>
      <c r="BA24" s="2">
        <v>1026</v>
      </c>
    </row>
    <row r="25" spans="1:53" ht="15" customHeight="1">
      <c r="A25" s="14"/>
      <c r="B25" s="15"/>
      <c r="C25" s="34" t="s">
        <v>48</v>
      </c>
      <c r="D25" s="16" t="str">
        <f>IF(ISERROR(VLOOKUP($C25,'START LİSTE'!$B$6:$F$825,2,0)),"",VLOOKUP($C25,'START LİSTE'!$B$6:$F$825,2,0))</f>
        <v>-</v>
      </c>
      <c r="E25" s="17" t="str">
        <f>IF(ISERROR(VLOOKUP($C25,'START LİSTE'!$B$6:$F$825,4,0)),"",VLOOKUP($C25,'START LİSTE'!$B$6:$F$825,4,0))</f>
        <v>T</v>
      </c>
      <c r="F25" s="18">
        <f>IF(ISERROR(VLOOKUP($C25,'FERDİ SONUÇ'!$B$6:$H$913,6,0)),"",VLOOKUP($C25,'FERDİ SONUÇ'!$B$6:$H$913,6,0))</f>
      </c>
      <c r="G25" s="17" t="str">
        <f>IF(OR(E25="",F25="DQ",F25="DNF",F25="DNS",F25=""),"-",VLOOKUP(C25,'FERDİ SONUÇ'!$B$6:$H$913,7,0))</f>
        <v>-</v>
      </c>
      <c r="H25" s="17" t="str">
        <f>IF(OR(E25="",E25="F",F25="DQ",F25="DNF",F25="DNS",F25=""),"-",VLOOKUP(C25,'FERDİ SONUÇ'!$B$6:$H$913,7,0))</f>
        <v>-</v>
      </c>
      <c r="I25" s="20" t="str">
        <f>IF(ISERROR(SMALL(H22:H25,4)),"-",SMALL(H22:H25,4))</f>
        <v>-</v>
      </c>
      <c r="J25" s="21"/>
      <c r="BA25" s="2">
        <v>1027</v>
      </c>
    </row>
    <row r="26" spans="1:53" ht="15" customHeight="1">
      <c r="A26" s="6"/>
      <c r="B26" s="7"/>
      <c r="C26" s="33">
        <v>681</v>
      </c>
      <c r="D26" s="8" t="str">
        <f>IF(ISERROR(VLOOKUP($C26,'START LİSTE'!$B$6:$F$825,2,0)),"",VLOOKUP($C26,'START LİSTE'!$B$6:$F$825,2,0))</f>
        <v>SİMAY NUR ERGİN</v>
      </c>
      <c r="E26" s="9" t="str">
        <f>IF(ISERROR(VLOOKUP($C26,'START LİSTE'!$B$6:$F$825,4,0)),"",VLOOKUP($C26,'START LİSTE'!$B$6:$F$825,4,0))</f>
        <v>T</v>
      </c>
      <c r="F26" s="10">
        <f>IF(ISERROR(VLOOKUP($C26,'FERDİ SONUÇ'!$B$6:$H$913,6,0)),"",VLOOKUP($C26,'FERDİ SONUÇ'!$B$6:$H$913,6,0))</f>
        <v>601</v>
      </c>
      <c r="G26" s="9">
        <f>IF(OR(E26="",F26="DQ",F26="DNF",F26="DNS",F26=""),"-",VLOOKUP(C26,'FERDİ SONUÇ'!$B$6:$H$913,7,0))</f>
        <v>43</v>
      </c>
      <c r="H26" s="9">
        <f>IF(OR(E26="",E26="F",F26="DQ",F26="DNF",F26="DNS",F26=""),"-",VLOOKUP(C26,'FERDİ SONUÇ'!$B$6:$H$913,7,0))</f>
        <v>43</v>
      </c>
      <c r="I26" s="12">
        <f>IF(ISERROR(SMALL(H26:H29,1)),"-",SMALL(H26:H29,1))</f>
        <v>43</v>
      </c>
      <c r="J26" s="13"/>
      <c r="BA26" s="2">
        <v>1030</v>
      </c>
    </row>
    <row r="27" spans="1:53" ht="15" customHeight="1">
      <c r="A27" s="14"/>
      <c r="B27" s="15"/>
      <c r="C27" s="34">
        <v>682</v>
      </c>
      <c r="D27" s="16" t="str">
        <f>IF(ISERROR(VLOOKUP($C27,'START LİSTE'!$B$6:$F$825,2,0)),"",VLOOKUP($C27,'START LİSTE'!$B$6:$F$825,2,0))</f>
        <v>FİLİZ SUSAMİŞLEYEN</v>
      </c>
      <c r="E27" s="17" t="str">
        <f>IF(ISERROR(VLOOKUP($C27,'START LİSTE'!$B$6:$F$825,4,0)),"",VLOOKUP($C27,'START LİSTE'!$B$6:$F$825,4,0))</f>
        <v>T</v>
      </c>
      <c r="F27" s="18">
        <f>IF(ISERROR(VLOOKUP($C27,'FERDİ SONUÇ'!$B$6:$H$913,6,0)),"",VLOOKUP($C27,'FERDİ SONUÇ'!$B$6:$H$913,6,0))</f>
        <v>604</v>
      </c>
      <c r="G27" s="17">
        <f>IF(OR(E27="",F27="DQ",F27="DNF",F27="DNS",F27=""),"-",VLOOKUP(C27,'FERDİ SONUÇ'!$B$6:$H$913,7,0))</f>
        <v>46</v>
      </c>
      <c r="H27" s="17">
        <f>IF(OR(E27="",E27="F",F27="DQ",F27="DNF",F27="DNS",F27=""),"-",VLOOKUP(C27,'FERDİ SONUÇ'!$B$6:$H$913,7,0))</f>
        <v>46</v>
      </c>
      <c r="I27" s="20">
        <f>IF(ISERROR(SMALL(H26:H29,2)),"-",SMALL(H26:H29,2))</f>
        <v>46</v>
      </c>
      <c r="J27" s="21"/>
      <c r="BA27" s="2">
        <v>1031</v>
      </c>
    </row>
    <row r="28" spans="1:53" ht="15" customHeight="1">
      <c r="A28" s="35">
        <f>IF(AND(B28&lt;&gt;"",J28&lt;&gt;"DQ"),COUNT(J$6:J$125)-(RANK(J28,J$6:J$125)+COUNTIF(J$6:J28,J28))+2,IF(C26&lt;&gt;"",BA28,""))</f>
        <v>14</v>
      </c>
      <c r="B28" s="15" t="str">
        <f>IF(ISERROR(VLOOKUP(C26,'START LİSTE'!$B$6:$F$825,3,0)),"",VLOOKUP(C26,'START LİSTE'!$B$6:$F$825,3,0))</f>
        <v>EDİRNE GENÇLİK SPOR KULÜBÜ</v>
      </c>
      <c r="C28" s="34">
        <v>683</v>
      </c>
      <c r="D28" s="16" t="str">
        <f>IF(ISERROR(VLOOKUP($C28,'START LİSTE'!$B$6:$F$825,2,0)),"",VLOOKUP($C28,'START LİSTE'!$B$6:$F$825,2,0))</f>
        <v>YAĞMUR VARDAR</v>
      </c>
      <c r="E28" s="17" t="str">
        <f>IF(ISERROR(VLOOKUP($C28,'START LİSTE'!$B$6:$F$825,4,0)),"",VLOOKUP($C28,'START LİSTE'!$B$6:$F$825,4,0))</f>
        <v>T</v>
      </c>
      <c r="F28" s="18" t="str">
        <f>IF(ISERROR(VLOOKUP($C28,'FERDİ SONUÇ'!$B$6:$H$913,6,0)),"",VLOOKUP($C28,'FERDİ SONUÇ'!$B$6:$H$913,6,0))</f>
        <v>DNF</v>
      </c>
      <c r="G28" s="17" t="str">
        <f>IF(OR(E28="",F28="DQ",F28="DNF",F28="DNS",F28=""),"-",VLOOKUP(C28,'FERDİ SONUÇ'!$B$6:$H$913,7,0))</f>
        <v>-</v>
      </c>
      <c r="H28" s="17" t="str">
        <f>IF(OR(E28="",E28="F",F28="DQ",F28="DNF",F28="DNS",F28=""),"-",VLOOKUP(C28,'FERDİ SONUÇ'!$B$6:$H$913,7,0))</f>
        <v>-</v>
      </c>
      <c r="I28" s="20">
        <f>IF(ISERROR(SMALL(H26:H29,3)),"-",SMALL(H26:H29,3))</f>
        <v>69</v>
      </c>
      <c r="J28" s="22">
        <f>IF(C26="","",IF(OR(I26="-",I27="-",I28="-"),"DQ",SUM(I26,I27,I28)))</f>
        <v>158</v>
      </c>
      <c r="BA28" s="2">
        <v>1032</v>
      </c>
    </row>
    <row r="29" spans="1:53" ht="15" customHeight="1">
      <c r="A29" s="14"/>
      <c r="B29" s="15"/>
      <c r="C29" s="34">
        <v>684</v>
      </c>
      <c r="D29" s="16" t="str">
        <f>IF(ISERROR(VLOOKUP($C29,'START LİSTE'!$B$6:$F$825,2,0)),"",VLOOKUP($C29,'START LİSTE'!$B$6:$F$825,2,0))</f>
        <v>HİLAL NUR TURAN</v>
      </c>
      <c r="E29" s="17" t="str">
        <f>IF(ISERROR(VLOOKUP($C29,'START LİSTE'!$B$6:$F$825,4,0)),"",VLOOKUP($C29,'START LİSTE'!$B$6:$F$825,4,0))</f>
        <v>T</v>
      </c>
      <c r="F29" s="18">
        <f>IF(ISERROR(VLOOKUP($C29,'FERDİ SONUÇ'!$B$6:$H$913,6,0)),"",VLOOKUP($C29,'FERDİ SONUÇ'!$B$6:$H$913,6,0))</f>
        <v>742</v>
      </c>
      <c r="G29" s="17">
        <f>IF(OR(E29="",F29="DQ",F29="DNF",F29="DNS",F29=""),"-",VLOOKUP(C29,'FERDİ SONUÇ'!$B$6:$H$913,7,0))</f>
        <v>69</v>
      </c>
      <c r="H29" s="17">
        <f>IF(OR(E29="",E29="F",F29="DQ",F29="DNF",F29="DNS",F29=""),"-",VLOOKUP(C29,'FERDİ SONUÇ'!$B$6:$H$913,7,0))</f>
        <v>69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33">
        <v>685</v>
      </c>
      <c r="D30" s="8" t="str">
        <f>IF(ISERROR(VLOOKUP($C30,'START LİSTE'!$B$6:$F$825,2,0)),"",VLOOKUP($C30,'START LİSTE'!$B$6:$F$825,2,0))</f>
        <v>SEVGİ İME</v>
      </c>
      <c r="E30" s="9" t="str">
        <f>IF(ISERROR(VLOOKUP($C30,'START LİSTE'!$B$6:$F$825,4,0)),"",VLOOKUP($C30,'START LİSTE'!$B$6:$F$825,4,0))</f>
        <v>T</v>
      </c>
      <c r="F30" s="10">
        <f>IF(ISERROR(VLOOKUP($C30,'FERDİ SONUÇ'!$B$6:$H$913,6,0)),"",VLOOKUP($C30,'FERDİ SONUÇ'!$B$6:$H$913,6,0))</f>
        <v>609</v>
      </c>
      <c r="G30" s="9">
        <f>IF(OR(E30="",F30="DQ",F30="DNF",F30="DNS",F30=""),"-",VLOOKUP(C30,'FERDİ SONUÇ'!$B$6:$H$913,7,0))</f>
        <v>52</v>
      </c>
      <c r="H30" s="9">
        <f>IF(OR(E30="",E30="F",F30="DQ",F30="DNF",F30="DNS",F30=""),"-",VLOOKUP(C30,'FERDİ SONUÇ'!$B$6:$H$913,7,0))</f>
        <v>52</v>
      </c>
      <c r="I30" s="12">
        <f>IF(ISERROR(SMALL(H30:H33,1)),"-",SMALL(H30:H33,1))</f>
        <v>45</v>
      </c>
      <c r="J30" s="13"/>
      <c r="BA30" s="2">
        <v>1036</v>
      </c>
    </row>
    <row r="31" spans="1:53" ht="15" customHeight="1">
      <c r="A31" s="14"/>
      <c r="B31" s="15"/>
      <c r="C31" s="34">
        <v>686</v>
      </c>
      <c r="D31" s="16" t="str">
        <f>IF(ISERROR(VLOOKUP($C31,'START LİSTE'!$B$6:$F$825,2,0)),"",VLOOKUP($C31,'START LİSTE'!$B$6:$F$825,2,0))</f>
        <v>BERİVAN ÜRÜN</v>
      </c>
      <c r="E31" s="17" t="str">
        <f>IF(ISERROR(VLOOKUP($C31,'START LİSTE'!$B$6:$F$825,4,0)),"",VLOOKUP($C31,'START LİSTE'!$B$6:$F$825,4,0))</f>
        <v>T</v>
      </c>
      <c r="F31" s="18">
        <f>IF(ISERROR(VLOOKUP($C31,'FERDİ SONUÇ'!$B$6:$H$913,6,0)),"",VLOOKUP($C31,'FERDİ SONUÇ'!$B$6:$H$913,6,0))</f>
        <v>604</v>
      </c>
      <c r="G31" s="17">
        <f>IF(OR(E31="",F31="DQ",F31="DNF",F31="DNS",F31=""),"-",VLOOKUP(C31,'FERDİ SONUÇ'!$B$6:$H$913,7,0))</f>
        <v>45</v>
      </c>
      <c r="H31" s="17">
        <f>IF(OR(E31="",E31="F",F31="DQ",F31="DNF",F31="DNS",F31=""),"-",VLOOKUP(C31,'FERDİ SONUÇ'!$B$6:$H$913,7,0))</f>
        <v>45</v>
      </c>
      <c r="I31" s="20">
        <f>IF(ISERROR(SMALL(H30:H33,2)),"-",SMALL(H30:H33,2))</f>
        <v>52</v>
      </c>
      <c r="J31" s="21"/>
      <c r="BA31" s="2">
        <v>1037</v>
      </c>
    </row>
    <row r="32" spans="1:53" ht="15" customHeight="1">
      <c r="A32" s="35">
        <f>IF(AND(B32&lt;&gt;"",J32&lt;&gt;"DQ"),COUNT(J$6:J$125)-(RANK(J32,J$6:J$125)+COUNTIF(J$6:J32,J32))+2,IF(C30&lt;&gt;"",BA32,""))</f>
        <v>17</v>
      </c>
      <c r="B32" s="15" t="str">
        <f>IF(ISERROR(VLOOKUP(C30,'START LİSTE'!$B$6:$F$825,3,0)),"",VLOOKUP(C30,'START LİSTE'!$B$6:$F$825,3,0))</f>
        <v>İSTANBUL-ALBAYRAK SPOR</v>
      </c>
      <c r="C32" s="34">
        <v>687</v>
      </c>
      <c r="D32" s="16" t="str">
        <f>IF(ISERROR(VLOOKUP($C32,'START LİSTE'!$B$6:$F$825,2,0)),"",VLOOKUP($C32,'START LİSTE'!$B$6:$F$825,2,0))</f>
        <v>FATMANUR AYTEPE</v>
      </c>
      <c r="E32" s="17" t="str">
        <f>IF(ISERROR(VLOOKUP($C32,'START LİSTE'!$B$6:$F$825,4,0)),"",VLOOKUP($C32,'START LİSTE'!$B$6:$F$825,4,0))</f>
        <v>T</v>
      </c>
      <c r="F32" s="18">
        <f>IF(ISERROR(VLOOKUP($C32,'FERDİ SONUÇ'!$B$6:$H$913,6,0)),"",VLOOKUP($C32,'FERDİ SONUÇ'!$B$6:$H$913,6,0))</f>
        <v>641</v>
      </c>
      <c r="G32" s="17">
        <f>IF(OR(E32="",F32="DQ",F32="DNF",F32="DNS",F32=""),"-",VLOOKUP(C32,'FERDİ SONUÇ'!$B$6:$H$913,7,0))</f>
        <v>67</v>
      </c>
      <c r="H32" s="17">
        <f>IF(OR(E32="",E32="F",F32="DQ",F32="DNF",F32="DNS",F32=""),"-",VLOOKUP(C32,'FERDİ SONUÇ'!$B$6:$H$913,7,0))</f>
        <v>67</v>
      </c>
      <c r="I32" s="20">
        <f>IF(ISERROR(SMALL(H30:H33,3)),"-",SMALL(H30:H33,3))</f>
        <v>67</v>
      </c>
      <c r="J32" s="22">
        <f>IF(C30="","",IF(OR(I30="-",I31="-",I32="-"),"DQ",SUM(I30,I31,I32)))</f>
        <v>164</v>
      </c>
      <c r="BA32" s="2">
        <v>1038</v>
      </c>
    </row>
    <row r="33" spans="1:53" ht="15" customHeight="1">
      <c r="A33" s="14"/>
      <c r="B33" s="15"/>
      <c r="C33" s="34">
        <v>688</v>
      </c>
      <c r="D33" s="16" t="str">
        <f>IF(ISERROR(VLOOKUP($C33,'START LİSTE'!$B$6:$F$825,2,0)),"",VLOOKUP($C33,'START LİSTE'!$B$6:$F$825,2,0))</f>
        <v>BEHİYE GÜNDÜZ</v>
      </c>
      <c r="E33" s="17" t="str">
        <f>IF(ISERROR(VLOOKUP($C33,'START LİSTE'!$B$6:$F$825,4,0)),"",VLOOKUP($C33,'START LİSTE'!$B$6:$F$825,4,0))</f>
        <v>T</v>
      </c>
      <c r="F33" s="18">
        <f>IF(ISERROR(VLOOKUP($C33,'FERDİ SONUÇ'!$B$6:$H$913,6,0)),"",VLOOKUP($C33,'FERDİ SONUÇ'!$B$6:$H$913,6,0))</f>
        <v>644</v>
      </c>
      <c r="G33" s="17">
        <f>IF(OR(E33="",F33="DQ",F33="DNF",F33="DNS",F33=""),"-",VLOOKUP(C33,'FERDİ SONUÇ'!$B$6:$H$913,7,0))</f>
        <v>68</v>
      </c>
      <c r="H33" s="17">
        <f>IF(OR(E33="",E33="F",F33="DQ",F33="DNF",F33="DNS",F33=""),"-",VLOOKUP(C33,'FERDİ SONUÇ'!$B$6:$H$913,7,0))</f>
        <v>68</v>
      </c>
      <c r="I33" s="20">
        <f>IF(ISERROR(SMALL(H30:H33,4)),"-",SMALL(H30:H33,4))</f>
        <v>68</v>
      </c>
      <c r="J33" s="21"/>
      <c r="BA33" s="2">
        <v>1039</v>
      </c>
    </row>
    <row r="34" spans="1:53" ht="15" customHeight="1">
      <c r="A34" s="6"/>
      <c r="B34" s="7"/>
      <c r="C34" s="33">
        <v>689</v>
      </c>
      <c r="D34" s="8" t="str">
        <f>IF(ISERROR(VLOOKUP($C34,'START LİSTE'!$B$6:$F$825,2,0)),"",VLOOKUP($C34,'START LİSTE'!$B$6:$F$825,2,0))</f>
        <v>GAYE İŞBİLİR</v>
      </c>
      <c r="E34" s="9" t="str">
        <f>IF(ISERROR(VLOOKUP($C34,'START LİSTE'!$B$6:$F$825,4,0)),"",VLOOKUP($C34,'START LİSTE'!$B$6:$F$825,4,0))</f>
        <v>T</v>
      </c>
      <c r="F34" s="10">
        <f>IF(ISERROR(VLOOKUP($C34,'FERDİ SONUÇ'!$B$6:$H$913,6,0)),"",VLOOKUP($C34,'FERDİ SONUÇ'!$B$6:$H$913,6,0))</f>
        <v>524</v>
      </c>
      <c r="G34" s="9">
        <f>IF(OR(E34="",F34="DQ",F34="DNF",F34="DNS",F34=""),"-",VLOOKUP(C34,'FERDİ SONUÇ'!$B$6:$H$913,7,0))</f>
        <v>17</v>
      </c>
      <c r="H34" s="9">
        <f>IF(OR(E34="",E34="F",F34="DQ",F34="DNF",F34="DNS",F34=""),"-",VLOOKUP(C34,'FERDİ SONUÇ'!$B$6:$H$913,7,0))</f>
        <v>17</v>
      </c>
      <c r="I34" s="12">
        <f>IF(ISERROR(SMALL(H34:H37,1)),"-",SMALL(H34:H37,1))</f>
        <v>17</v>
      </c>
      <c r="J34" s="13"/>
      <c r="BA34" s="2">
        <v>1042</v>
      </c>
    </row>
    <row r="35" spans="1:53" ht="15" customHeight="1">
      <c r="A35" s="14"/>
      <c r="B35" s="15"/>
      <c r="C35" s="34">
        <v>690</v>
      </c>
      <c r="D35" s="16" t="str">
        <f>IF(ISERROR(VLOOKUP($C35,'START LİSTE'!$B$6:$F$825,2,0)),"",VLOOKUP($C35,'START LİSTE'!$B$6:$F$825,2,0))</f>
        <v>ÖZLEM YAŞLI </v>
      </c>
      <c r="E35" s="17" t="str">
        <f>IF(ISERROR(VLOOKUP($C35,'START LİSTE'!$B$6:$F$825,4,0)),"",VLOOKUP($C35,'START LİSTE'!$B$6:$F$825,4,0))</f>
        <v>T</v>
      </c>
      <c r="F35" s="18">
        <f>IF(ISERROR(VLOOKUP($C35,'FERDİ SONUÇ'!$B$6:$H$913,6,0)),"",VLOOKUP($C35,'FERDİ SONUÇ'!$B$6:$H$913,6,0))</f>
        <v>545</v>
      </c>
      <c r="G35" s="17">
        <f>IF(OR(E35="",F35="DQ",F35="DNF",F35="DNS",F35=""),"-",VLOOKUP(C35,'FERDİ SONUÇ'!$B$6:$H$913,7,0))</f>
        <v>33</v>
      </c>
      <c r="H35" s="17">
        <f>IF(OR(E35="",E35="F",F35="DQ",F35="DNF",F35="DNS",F35=""),"-",VLOOKUP(C35,'FERDİ SONUÇ'!$B$6:$H$913,7,0))</f>
        <v>33</v>
      </c>
      <c r="I35" s="20">
        <f>IF(ISERROR(SMALL(H34:H37,2)),"-",SMALL(H34:H37,2))</f>
        <v>19</v>
      </c>
      <c r="J35" s="21"/>
      <c r="BA35" s="2">
        <v>1043</v>
      </c>
    </row>
    <row r="36" spans="1:53" ht="15" customHeight="1">
      <c r="A36" s="35">
        <f>IF(AND(B36&lt;&gt;"",J36&lt;&gt;"DQ"),COUNT(J$6:J$125)-(RANK(J36,J$6:J$125)+COUNTIF(J$6:J36,J36))+2,IF(C34&lt;&gt;"",BA36,""))</f>
        <v>6</v>
      </c>
      <c r="B36" s="15" t="str">
        <f>IF(ISERROR(VLOOKUP(C34,'START LİSTE'!$B$6:$F$825,3,0)),"",VLOOKUP(C34,'START LİSTE'!$B$6:$F$825,3,0))</f>
        <v>İSTANBUL- VELİBABA KTML GSK</v>
      </c>
      <c r="C36" s="34">
        <v>691</v>
      </c>
      <c r="D36" s="16" t="str">
        <f>IF(ISERROR(VLOOKUP($C36,'START LİSTE'!$B$6:$F$825,2,0)),"",VLOOKUP($C36,'START LİSTE'!$B$6:$F$825,2,0))</f>
        <v>YAĞMUR DOĞAN</v>
      </c>
      <c r="E36" s="17" t="str">
        <f>IF(ISERROR(VLOOKUP($C36,'START LİSTE'!$B$6:$F$825,4,0)),"",VLOOKUP($C36,'START LİSTE'!$B$6:$F$825,4,0))</f>
        <v>T</v>
      </c>
      <c r="F36" s="18">
        <f>IF(ISERROR(VLOOKUP($C36,'FERDİ SONUÇ'!$B$6:$H$913,6,0)),"",VLOOKUP($C36,'FERDİ SONUÇ'!$B$6:$H$913,6,0))</f>
        <v>526</v>
      </c>
      <c r="G36" s="17">
        <f>IF(OR(E36="",F36="DQ",F36="DNF",F36="DNS",F36=""),"-",VLOOKUP(C36,'FERDİ SONUÇ'!$B$6:$H$913,7,0))</f>
        <v>19</v>
      </c>
      <c r="H36" s="17">
        <f>IF(OR(E36="",E36="F",F36="DQ",F36="DNF",F36="DNS",F36=""),"-",VLOOKUP(C36,'FERDİ SONUÇ'!$B$6:$H$913,7,0))</f>
        <v>19</v>
      </c>
      <c r="I36" s="20">
        <f>IF(ISERROR(SMALL(H34:H37,3)),"-",SMALL(H34:H37,3))</f>
        <v>23</v>
      </c>
      <c r="J36" s="22">
        <f>IF(C34="","",IF(OR(I34="-",I35="-",I36="-"),"DQ",SUM(I34,I35,I36)))</f>
        <v>59</v>
      </c>
      <c r="BA36" s="2">
        <v>1044</v>
      </c>
    </row>
    <row r="37" spans="1:53" ht="15" customHeight="1">
      <c r="A37" s="14"/>
      <c r="B37" s="15"/>
      <c r="C37" s="34">
        <v>692</v>
      </c>
      <c r="D37" s="16" t="str">
        <f>IF(ISERROR(VLOOKUP($C37,'START LİSTE'!$B$6:$F$825,2,0)),"",VLOOKUP($C37,'START LİSTE'!$B$6:$F$825,2,0))</f>
        <v>SEMANUR YAŞLI</v>
      </c>
      <c r="E37" s="17" t="str">
        <f>IF(ISERROR(VLOOKUP($C37,'START LİSTE'!$B$6:$F$825,4,0)),"",VLOOKUP($C37,'START LİSTE'!$B$6:$F$825,4,0))</f>
        <v>T</v>
      </c>
      <c r="F37" s="18">
        <f>IF(ISERROR(VLOOKUP($C37,'FERDİ SONUÇ'!$B$6:$H$913,6,0)),"",VLOOKUP($C37,'FERDİ SONUÇ'!$B$6:$H$913,6,0))</f>
        <v>531</v>
      </c>
      <c r="G37" s="17">
        <f>IF(OR(E37="",F37="DQ",F37="DNF",F37="DNS",F37=""),"-",VLOOKUP(C37,'FERDİ SONUÇ'!$B$6:$H$913,7,0))</f>
        <v>23</v>
      </c>
      <c r="H37" s="17">
        <f>IF(OR(E37="",E37="F",F37="DQ",F37="DNF",F37="DNS",F37=""),"-",VLOOKUP(C37,'FERDİ SONUÇ'!$B$6:$H$913,7,0))</f>
        <v>23</v>
      </c>
      <c r="I37" s="20">
        <f>IF(ISERROR(SMALL(H34:H37,4)),"-",SMALL(H34:H37,4))</f>
        <v>33</v>
      </c>
      <c r="J37" s="21"/>
      <c r="BA37" s="2">
        <v>1045</v>
      </c>
    </row>
    <row r="38" spans="1:53" ht="15" customHeight="1">
      <c r="A38" s="6"/>
      <c r="B38" s="7"/>
      <c r="C38" s="33">
        <v>693</v>
      </c>
      <c r="D38" s="8" t="str">
        <f>IF(ISERROR(VLOOKUP($C38,'START LİSTE'!$B$6:$F$825,2,0)),"",VLOOKUP($C38,'START LİSTE'!$B$6:$F$825,2,0))</f>
        <v>ŞEYMANUR ÇOŞKUN</v>
      </c>
      <c r="E38" s="9" t="str">
        <f>IF(ISERROR(VLOOKUP($C38,'START LİSTE'!$B$6:$F$825,4,0)),"",VLOOKUP($C38,'START LİSTE'!$B$6:$F$825,4,0))</f>
        <v>T</v>
      </c>
      <c r="F38" s="10">
        <f>IF(ISERROR(VLOOKUP($C38,'FERDİ SONUÇ'!$B$6:$H$913,6,0)),"",VLOOKUP($C38,'FERDİ SONUÇ'!$B$6:$H$913,6,0))</f>
        <v>554</v>
      </c>
      <c r="G38" s="9">
        <f>IF(OR(E38="",F38="DQ",F38="DNF",F38="DNS",F38=""),"-",VLOOKUP(C38,'FERDİ SONUÇ'!$B$6:$H$913,7,0))</f>
        <v>39</v>
      </c>
      <c r="H38" s="9">
        <f>IF(OR(E38="",E38="F",F38="DQ",F38="DNF",F38="DNS",F38=""),"-",VLOOKUP(C38,'FERDİ SONUÇ'!$B$6:$H$913,7,0))</f>
        <v>39</v>
      </c>
      <c r="I38" s="12">
        <f>IF(ISERROR(SMALL(H38:H41,1)),"-",SMALL(H38:H41,1))</f>
        <v>28</v>
      </c>
      <c r="J38" s="13"/>
      <c r="BA38" s="2">
        <v>1048</v>
      </c>
    </row>
    <row r="39" spans="1:53" ht="15" customHeight="1">
      <c r="A39" s="14"/>
      <c r="B39" s="15"/>
      <c r="C39" s="34">
        <v>694</v>
      </c>
      <c r="D39" s="16" t="str">
        <f>IF(ISERROR(VLOOKUP($C39,'START LİSTE'!$B$6:$F$825,2,0)),"",VLOOKUP($C39,'START LİSTE'!$B$6:$F$825,2,0))</f>
        <v>MERVE  SEFA KÖYLÜ</v>
      </c>
      <c r="E39" s="17" t="str">
        <f>IF(ISERROR(VLOOKUP($C39,'START LİSTE'!$B$6:$F$825,4,0)),"",VLOOKUP($C39,'START LİSTE'!$B$6:$F$825,4,0))</f>
        <v>T</v>
      </c>
      <c r="F39" s="18">
        <f>IF(ISERROR(VLOOKUP($C39,'FERDİ SONUÇ'!$B$6:$H$913,6,0)),"",VLOOKUP($C39,'FERDİ SONUÇ'!$B$6:$H$913,6,0))</f>
        <v>536</v>
      </c>
      <c r="G39" s="17">
        <f>IF(OR(E39="",F39="DQ",F39="DNF",F39="DNS",F39=""),"-",VLOOKUP(C39,'FERDİ SONUÇ'!$B$6:$H$913,7,0))</f>
        <v>28</v>
      </c>
      <c r="H39" s="17">
        <f>IF(OR(E39="",E39="F",F39="DQ",F39="DNF",F39="DNS",F39=""),"-",VLOOKUP(C39,'FERDİ SONUÇ'!$B$6:$H$913,7,0))</f>
        <v>28</v>
      </c>
      <c r="I39" s="20">
        <f>IF(ISERROR(SMALL(H38:H41,2)),"-",SMALL(H38:H41,2))</f>
        <v>34</v>
      </c>
      <c r="J39" s="21"/>
      <c r="BA39" s="2">
        <v>1049</v>
      </c>
    </row>
    <row r="40" spans="1:53" ht="15" customHeight="1">
      <c r="A40" s="35">
        <f>IF(AND(B40&lt;&gt;"",J40&lt;&gt;"DQ"),COUNT(J$6:J$125)-(RANK(J40,J$6:J$125)+COUNTIF(J$6:J40,J40))+2,IF(C38&lt;&gt;"",BA40,""))</f>
        <v>9</v>
      </c>
      <c r="B40" s="15" t="str">
        <f>IF(ISERROR(VLOOKUP(C38,'START LİSTE'!$B$6:$F$825,3,0)),"",VLOOKUP(C38,'START LİSTE'!$B$6:$F$825,3,0))</f>
        <v>İSTANBUL-BEŞİKTAŞ J.K</v>
      </c>
      <c r="C40" s="34">
        <v>695</v>
      </c>
      <c r="D40" s="16" t="str">
        <f>IF(ISERROR(VLOOKUP($C40,'START LİSTE'!$B$6:$F$825,2,0)),"",VLOOKUP($C40,'START LİSTE'!$B$6:$F$825,2,0))</f>
        <v>DERYA  GÜLDAL</v>
      </c>
      <c r="E40" s="17" t="str">
        <f>IF(ISERROR(VLOOKUP($C40,'START LİSTE'!$B$6:$F$825,4,0)),"",VLOOKUP($C40,'START LİSTE'!$B$6:$F$825,4,0))</f>
        <v>T</v>
      </c>
      <c r="F40" s="18">
        <f>IF(ISERROR(VLOOKUP($C40,'FERDİ SONUÇ'!$B$6:$H$913,6,0)),"",VLOOKUP($C40,'FERDİ SONUÇ'!$B$6:$H$913,6,0))</f>
        <v>550</v>
      </c>
      <c r="G40" s="17">
        <f>IF(OR(E40="",F40="DQ",F40="DNF",F40="DNS",F40=""),"-",VLOOKUP(C40,'FERDİ SONUÇ'!$B$6:$H$913,7,0))</f>
        <v>37</v>
      </c>
      <c r="H40" s="17">
        <f>IF(OR(E40="",E40="F",F40="DQ",F40="DNF",F40="DNS",F40=""),"-",VLOOKUP(C40,'FERDİ SONUÇ'!$B$6:$H$913,7,0))</f>
        <v>37</v>
      </c>
      <c r="I40" s="20">
        <f>IF(ISERROR(SMALL(H38:H41,3)),"-",SMALL(H38:H41,3))</f>
        <v>37</v>
      </c>
      <c r="J40" s="22">
        <f>IF(C38="","",IF(OR(I38="-",I39="-",I40="-"),"DQ",SUM(I38,I39,I40)))</f>
        <v>99</v>
      </c>
      <c r="BA40" s="2">
        <v>1050</v>
      </c>
    </row>
    <row r="41" spans="1:53" ht="15" customHeight="1">
      <c r="A41" s="14"/>
      <c r="B41" s="15"/>
      <c r="C41" s="34">
        <v>696</v>
      </c>
      <c r="D41" s="16" t="str">
        <f>IF(ISERROR(VLOOKUP($C41,'START LİSTE'!$B$6:$F$825,2,0)),"",VLOOKUP($C41,'START LİSTE'!$B$6:$F$825,2,0))</f>
        <v>DERYA TENBEL</v>
      </c>
      <c r="E41" s="17" t="str">
        <f>IF(ISERROR(VLOOKUP($C41,'START LİSTE'!$B$6:$F$825,4,0)),"",VLOOKUP($C41,'START LİSTE'!$B$6:$F$825,4,0))</f>
        <v>T</v>
      </c>
      <c r="F41" s="18">
        <f>IF(ISERROR(VLOOKUP($C41,'FERDİ SONUÇ'!$B$6:$H$913,6,0)),"",VLOOKUP($C41,'FERDİ SONUÇ'!$B$6:$H$913,6,0))</f>
        <v>546</v>
      </c>
      <c r="G41" s="17">
        <f>IF(OR(E41="",F41="DQ",F41="DNF",F41="DNS",F41=""),"-",VLOOKUP(C41,'FERDİ SONUÇ'!$B$6:$H$913,7,0))</f>
        <v>34</v>
      </c>
      <c r="H41" s="17">
        <f>IF(OR(E41="",E41="F",F41="DQ",F41="DNF",F41="DNS",F41=""),"-",VLOOKUP(C41,'FERDİ SONUÇ'!$B$6:$H$913,7,0))</f>
        <v>34</v>
      </c>
      <c r="I41" s="20">
        <f>IF(ISERROR(SMALL(H38:H41,4)),"-",SMALL(H38:H41,4))</f>
        <v>39</v>
      </c>
      <c r="J41" s="21"/>
      <c r="BA41" s="2">
        <v>1051</v>
      </c>
    </row>
    <row r="42" spans="1:53" ht="15" customHeight="1">
      <c r="A42" s="6"/>
      <c r="B42" s="7"/>
      <c r="C42" s="33">
        <v>697</v>
      </c>
      <c r="D42" s="8" t="str">
        <f>IF(ISERROR(VLOOKUP($C42,'START LİSTE'!$B$6:$F$825,2,0)),"",VLOOKUP($C42,'START LİSTE'!$B$6:$F$825,2,0))</f>
        <v>FATMA AYGÜL</v>
      </c>
      <c r="E42" s="9" t="str">
        <f>IF(ISERROR(VLOOKUP($C42,'START LİSTE'!$B$6:$F$825,4,0)),"",VLOOKUP($C42,'START LİSTE'!$B$6:$F$825,4,0))</f>
        <v>T</v>
      </c>
      <c r="F42" s="10">
        <f>IF(ISERROR(VLOOKUP($C42,'FERDİ SONUÇ'!$B$6:$H$913,6,0)),"",VLOOKUP($C42,'FERDİ SONUÇ'!$B$6:$H$913,6,0))</f>
        <v>528</v>
      </c>
      <c r="G42" s="9">
        <f>IF(OR(E42="",F42="DQ",F42="DNF",F42="DNS",F42=""),"-",VLOOKUP(C42,'FERDİ SONUÇ'!$B$6:$H$913,7,0))</f>
        <v>21</v>
      </c>
      <c r="H42" s="9">
        <f>IF(OR(E42="",E42="F",F42="DQ",F42="DNF",F42="DNS",F42=""),"-",VLOOKUP(C42,'FERDİ SONUÇ'!$B$6:$H$913,7,0))</f>
        <v>21</v>
      </c>
      <c r="I42" s="12">
        <f>IF(ISERROR(SMALL(H42:H45,1)),"-",SMALL(H42:H45,1))</f>
        <v>20</v>
      </c>
      <c r="J42" s="13"/>
      <c r="BA42" s="2">
        <v>1054</v>
      </c>
    </row>
    <row r="43" spans="1:53" ht="15" customHeight="1">
      <c r="A43" s="14"/>
      <c r="B43" s="15"/>
      <c r="C43" s="34">
        <v>698</v>
      </c>
      <c r="D43" s="16" t="str">
        <f>IF(ISERROR(VLOOKUP($C43,'START LİSTE'!$B$6:$F$825,2,0)),"",VLOOKUP($C43,'START LİSTE'!$B$6:$F$825,2,0))</f>
        <v>TUĞBA YAĞIŞAN</v>
      </c>
      <c r="E43" s="17" t="str">
        <f>IF(ISERROR(VLOOKUP($C43,'START LİSTE'!$B$6:$F$825,4,0)),"",VLOOKUP($C43,'START LİSTE'!$B$6:$F$825,4,0))</f>
        <v>T</v>
      </c>
      <c r="F43" s="18">
        <f>IF(ISERROR(VLOOKUP($C43,'FERDİ SONUÇ'!$B$6:$H$913,6,0)),"",VLOOKUP($C43,'FERDİ SONUÇ'!$B$6:$H$913,6,0))</f>
        <v>537</v>
      </c>
      <c r="G43" s="17">
        <f>IF(OR(E43="",F43="DQ",F43="DNF",F43="DNS",F43=""),"-",VLOOKUP(C43,'FERDİ SONUÇ'!$B$6:$H$913,7,0))</f>
        <v>29</v>
      </c>
      <c r="H43" s="17">
        <f>IF(OR(E43="",E43="F",F43="DQ",F43="DNF",F43="DNS",F43=""),"-",VLOOKUP(C43,'FERDİ SONUÇ'!$B$6:$H$913,7,0))</f>
        <v>29</v>
      </c>
      <c r="I43" s="20">
        <f>IF(ISERROR(SMALL(H42:H45,2)),"-",SMALL(H42:H45,2))</f>
        <v>21</v>
      </c>
      <c r="J43" s="21"/>
      <c r="BA43" s="2">
        <v>1055</v>
      </c>
    </row>
    <row r="44" spans="1:53" ht="15" customHeight="1">
      <c r="A44" s="35">
        <f>IF(AND(B44&lt;&gt;"",J44&lt;&gt;"DQ"),COUNT(J$6:J$125)-(RANK(J44,J$6:J$125)+COUNTIF(J$6:J44,J44))+2,IF(C42&lt;&gt;"",BA44,""))</f>
        <v>7</v>
      </c>
      <c r="B44" s="15" t="str">
        <f>IF(ISERROR(VLOOKUP(C42,'START LİSTE'!$B$6:$F$825,3,0)),"",VLOOKUP(C42,'START LİSTE'!$B$6:$F$825,3,0))</f>
        <v>İSTANBUL-MEVLANA SPOR KULÜBÜ</v>
      </c>
      <c r="C44" s="34">
        <v>699</v>
      </c>
      <c r="D44" s="16" t="str">
        <f>IF(ISERROR(VLOOKUP($C44,'START LİSTE'!$B$6:$F$825,2,0)),"",VLOOKUP($C44,'START LİSTE'!$B$6:$F$825,2,0))</f>
        <v>EVİN DEMİR</v>
      </c>
      <c r="E44" s="17" t="str">
        <f>IF(ISERROR(VLOOKUP($C44,'START LİSTE'!$B$6:$F$825,4,0)),"",VLOOKUP($C44,'START LİSTE'!$B$6:$F$825,4,0))</f>
        <v>T</v>
      </c>
      <c r="F44" s="18">
        <f>IF(ISERROR(VLOOKUP($C44,'FERDİ SONUÇ'!$B$6:$H$913,6,0)),"",VLOOKUP($C44,'FERDİ SONUÇ'!$B$6:$H$913,6,0))</f>
        <v>527</v>
      </c>
      <c r="G44" s="17">
        <f>IF(OR(E44="",F44="DQ",F44="DNF",F44="DNS",F44=""),"-",VLOOKUP(C44,'FERDİ SONUÇ'!$B$6:$H$913,7,0))</f>
        <v>20</v>
      </c>
      <c r="H44" s="17">
        <f>IF(OR(E44="",E44="F",F44="DQ",F44="DNF",F44="DNS",F44=""),"-",VLOOKUP(C44,'FERDİ SONUÇ'!$B$6:$H$913,7,0))</f>
        <v>20</v>
      </c>
      <c r="I44" s="20">
        <f>IF(ISERROR(SMALL(H42:H45,3)),"-",SMALL(H42:H45,3))</f>
        <v>24</v>
      </c>
      <c r="J44" s="22">
        <f>IF(C42="","",IF(OR(I42="-",I43="-",I44="-"),"DQ",SUM(I42,I43,I44)))</f>
        <v>65</v>
      </c>
      <c r="BA44" s="2">
        <v>1056</v>
      </c>
    </row>
    <row r="45" spans="1:53" ht="15" customHeight="1">
      <c r="A45" s="14"/>
      <c r="B45" s="15"/>
      <c r="C45" s="34">
        <v>700</v>
      </c>
      <c r="D45" s="16" t="str">
        <f>IF(ISERROR(VLOOKUP($C45,'START LİSTE'!$B$6:$F$825,2,0)),"",VLOOKUP($C45,'START LİSTE'!$B$6:$F$825,2,0))</f>
        <v>GÜLSEVEN KILINÇ</v>
      </c>
      <c r="E45" s="17" t="str">
        <f>IF(ISERROR(VLOOKUP($C45,'START LİSTE'!$B$6:$F$825,4,0)),"",VLOOKUP($C45,'START LİSTE'!$B$6:$F$825,4,0))</f>
        <v>T</v>
      </c>
      <c r="F45" s="18">
        <f>IF(ISERROR(VLOOKUP($C45,'FERDİ SONUÇ'!$B$6:$H$913,6,0)),"",VLOOKUP($C45,'FERDİ SONUÇ'!$B$6:$H$913,6,0))</f>
        <v>532</v>
      </c>
      <c r="G45" s="17">
        <f>IF(OR(E45="",F45="DQ",F45="DNF",F45="DNS",F45=""),"-",VLOOKUP(C45,'FERDİ SONUÇ'!$B$6:$H$913,7,0))</f>
        <v>24</v>
      </c>
      <c r="H45" s="17">
        <f>IF(OR(E45="",E45="F",F45="DQ",F45="DNF",F45="DNS",F45=""),"-",VLOOKUP(C45,'FERDİ SONUÇ'!$B$6:$H$913,7,0))</f>
        <v>24</v>
      </c>
      <c r="I45" s="20">
        <f>IF(ISERROR(SMALL(H42:H45,4)),"-",SMALL(H42:H45,4))</f>
        <v>29</v>
      </c>
      <c r="J45" s="21"/>
      <c r="BA45" s="2">
        <v>1057</v>
      </c>
    </row>
    <row r="46" spans="1:53" ht="15" customHeight="1">
      <c r="A46" s="6"/>
      <c r="B46" s="7"/>
      <c r="C46" s="33">
        <v>713</v>
      </c>
      <c r="D46" s="8" t="str">
        <f>IF(ISERROR(VLOOKUP($C46,'START LİSTE'!$B$6:$F$825,2,0)),"",VLOOKUP($C46,'START LİSTE'!$B$6:$F$825,2,0))</f>
        <v>EZGİ KAYA</v>
      </c>
      <c r="E46" s="9" t="str">
        <f>IF(ISERROR(VLOOKUP($C46,'START LİSTE'!$B$6:$F$825,4,0)),"",VLOOKUP($C46,'START LİSTE'!$B$6:$F$825,4,0))</f>
        <v>T</v>
      </c>
      <c r="F46" s="10">
        <f>IF(ISERROR(VLOOKUP($C46,'FERDİ SONUÇ'!$B$6:$H$913,6,0)),"",VLOOKUP($C46,'FERDİ SONUÇ'!$B$6:$H$913,6,0))</f>
        <v>502</v>
      </c>
      <c r="G46" s="9">
        <f>IF(OR(E46="",F46="DQ",F46="DNF",F46="DNS",F46=""),"-",VLOOKUP(C46,'FERDİ SONUÇ'!$B$6:$H$913,7,0))</f>
        <v>2</v>
      </c>
      <c r="H46" s="9">
        <f>IF(OR(E46="",E46="F",F46="DQ",F46="DNF",F46="DNS",F46=""),"-",VLOOKUP(C46,'FERDİ SONUÇ'!$B$6:$H$913,7,0))</f>
        <v>2</v>
      </c>
      <c r="I46" s="12">
        <f>IF(ISERROR(SMALL(H46:H49,1)),"-",SMALL(H46:H49,1))</f>
        <v>1</v>
      </c>
      <c r="J46" s="13"/>
      <c r="BA46" s="2">
        <v>1060</v>
      </c>
    </row>
    <row r="47" spans="1:53" ht="15" customHeight="1">
      <c r="A47" s="14"/>
      <c r="B47" s="15"/>
      <c r="C47" s="34">
        <v>714</v>
      </c>
      <c r="D47" s="16" t="str">
        <f>IF(ISERROR(VLOOKUP($C47,'START LİSTE'!$B$6:$F$825,2,0)),"",VLOOKUP($C47,'START LİSTE'!$B$6:$F$825,2,0))</f>
        <v>EMİNE BAYDİLİ</v>
      </c>
      <c r="E47" s="17" t="str">
        <f>IF(ISERROR(VLOOKUP($C47,'START LİSTE'!$B$6:$F$825,4,0)),"",VLOOKUP($C47,'START LİSTE'!$B$6:$F$825,4,0))</f>
        <v>T</v>
      </c>
      <c r="F47" s="18">
        <f>IF(ISERROR(VLOOKUP($C47,'FERDİ SONUÇ'!$B$6:$H$913,6,0)),"",VLOOKUP($C47,'FERDİ SONUÇ'!$B$6:$H$913,6,0))</f>
        <v>516</v>
      </c>
      <c r="G47" s="17">
        <f>IF(OR(E47="",F47="DQ",F47="DNF",F47="DNS",F47=""),"-",VLOOKUP(C47,'FERDİ SONUÇ'!$B$6:$H$913,7,0))</f>
        <v>13</v>
      </c>
      <c r="H47" s="17">
        <f>IF(OR(E47="",E47="F",F47="DQ",F47="DNF",F47="DNS",F47=""),"-",VLOOKUP(C47,'FERDİ SONUÇ'!$B$6:$H$913,7,0))</f>
        <v>13</v>
      </c>
      <c r="I47" s="20">
        <f>IF(ISERROR(SMALL(H46:H49,2)),"-",SMALL(H46:H49,2))</f>
        <v>2</v>
      </c>
      <c r="J47" s="21"/>
      <c r="BA47" s="2">
        <v>1061</v>
      </c>
    </row>
    <row r="48" spans="1:53" ht="15" customHeight="1">
      <c r="A48" s="35">
        <f>IF(AND(B48&lt;&gt;"",J48&lt;&gt;"DQ"),COUNT(J$6:J$125)-(RANK(J48,J$6:J$125)+COUNTIF(J$6:J48,J48))+2,IF(C46&lt;&gt;"",BA48,""))</f>
        <v>1</v>
      </c>
      <c r="B48" s="15" t="str">
        <f>IF(ISERROR(VLOOKUP(C46,'START LİSTE'!$B$6:$F$825,3,0)),"",VLOOKUP(C46,'START LİSTE'!$B$6:$F$825,3,0))</f>
        <v>İSTANBUL-PENDİK BELEDİYE SPOR</v>
      </c>
      <c r="C48" s="34">
        <v>715</v>
      </c>
      <c r="D48" s="16" t="str">
        <f>IF(ISERROR(VLOOKUP($C48,'START LİSTE'!$B$6:$F$825,2,0)),"",VLOOKUP($C48,'START LİSTE'!$B$6:$F$825,2,0))</f>
        <v>ZEHRA ERHAN</v>
      </c>
      <c r="E48" s="17" t="str">
        <f>IF(ISERROR(VLOOKUP($C48,'START LİSTE'!$B$6:$F$825,4,0)),"",VLOOKUP($C48,'START LİSTE'!$B$6:$F$825,4,0))</f>
        <v>T</v>
      </c>
      <c r="F48" s="18">
        <f>IF(ISERROR(VLOOKUP($C48,'FERDİ SONUÇ'!$B$6:$H$913,6,0)),"",VLOOKUP($C48,'FERDİ SONUÇ'!$B$6:$H$913,6,0))</f>
        <v>501</v>
      </c>
      <c r="G48" s="17">
        <f>IF(OR(E48="",F48="DQ",F48="DNF",F48="DNS",F48=""),"-",VLOOKUP(C48,'FERDİ SONUÇ'!$B$6:$H$913,7,0))</f>
        <v>1</v>
      </c>
      <c r="H48" s="17">
        <f>IF(OR(E48="",E48="F",F48="DQ",F48="DNF",F48="DNS",F48=""),"-",VLOOKUP(C48,'FERDİ SONUÇ'!$B$6:$H$913,7,0))</f>
        <v>1</v>
      </c>
      <c r="I48" s="20">
        <f>IF(ISERROR(SMALL(H46:H49,3)),"-",SMALL(H46:H49,3))</f>
        <v>13</v>
      </c>
      <c r="J48" s="22">
        <f>IF(C46="","",IF(OR(I46="-",I47="-",I48="-"),"DQ",SUM(I46,I47,I48)))</f>
        <v>16</v>
      </c>
      <c r="BA48" s="2">
        <v>1062</v>
      </c>
    </row>
    <row r="49" spans="1:53" ht="15" customHeight="1">
      <c r="A49" s="14"/>
      <c r="B49" s="15"/>
      <c r="C49" s="34">
        <v>716</v>
      </c>
      <c r="D49" s="16" t="str">
        <f>IF(ISERROR(VLOOKUP($C49,'START LİSTE'!$B$6:$F$825,2,0)),"",VLOOKUP($C49,'START LİSTE'!$B$6:$F$825,2,0))</f>
        <v>CANSUNUR KAYA</v>
      </c>
      <c r="E49" s="17" t="str">
        <f>IF(ISERROR(VLOOKUP($C49,'START LİSTE'!$B$6:$F$825,4,0)),"",VLOOKUP($C49,'START LİSTE'!$B$6:$F$825,4,0))</f>
        <v>T</v>
      </c>
      <c r="F49" s="18">
        <f>IF(ISERROR(VLOOKUP($C49,'FERDİ SONUÇ'!$B$6:$H$913,6,0)),"",VLOOKUP($C49,'FERDİ SONUÇ'!$B$6:$H$913,6,0))</f>
        <v>529</v>
      </c>
      <c r="G49" s="17">
        <f>IF(OR(E49="",F49="DQ",F49="DNF",F49="DNS",F49=""),"-",VLOOKUP(C49,'FERDİ SONUÇ'!$B$6:$H$913,7,0))</f>
        <v>22</v>
      </c>
      <c r="H49" s="17">
        <f>IF(OR(E49="",E49="F",F49="DQ",F49="DNF",F49="DNS",F49=""),"-",VLOOKUP(C49,'FERDİ SONUÇ'!$B$6:$H$913,7,0))</f>
        <v>22</v>
      </c>
      <c r="I49" s="20">
        <f>IF(ISERROR(SMALL(H46:H49,4)),"-",SMALL(H46:H49,4))</f>
        <v>22</v>
      </c>
      <c r="J49" s="21"/>
      <c r="BA49" s="2">
        <v>1063</v>
      </c>
    </row>
    <row r="50" spans="1:53" ht="15" customHeight="1">
      <c r="A50" s="6"/>
      <c r="B50" s="7"/>
      <c r="C50" s="33">
        <v>717</v>
      </c>
      <c r="D50" s="8" t="str">
        <f>IF(ISERROR(VLOOKUP($C50,'START LİSTE'!$B$6:$F$825,2,0)),"",VLOOKUP($C50,'START LİSTE'!$B$6:$F$825,2,0))</f>
        <v>ESENGÜL KILINÇ                                             </v>
      </c>
      <c r="E50" s="9" t="str">
        <f>IF(ISERROR(VLOOKUP($C50,'START LİSTE'!$B$6:$F$825,4,0)),"",VLOOKUP($C50,'START LİSTE'!$B$6:$F$825,4,0))</f>
        <v>T</v>
      </c>
      <c r="F50" s="10">
        <f>IF(ISERROR(VLOOKUP($C50,'FERDİ SONUÇ'!$B$6:$H$913,6,0)),"",VLOOKUP($C50,'FERDİ SONUÇ'!$B$6:$H$913,6,0))</f>
        <v>507</v>
      </c>
      <c r="G50" s="9">
        <f>IF(OR(E50="",F50="DQ",F50="DNF",F50="DNS",F50=""),"-",VLOOKUP(C50,'FERDİ SONUÇ'!$B$6:$H$913,7,0))</f>
        <v>6</v>
      </c>
      <c r="H50" s="9">
        <f>IF(OR(E50="",E50="F",F50="DQ",F50="DNF",F50="DNS",F50=""),"-",VLOOKUP(C50,'FERDİ SONUÇ'!$B$6:$H$913,7,0))</f>
        <v>6</v>
      </c>
      <c r="I50" s="12">
        <f>IF(ISERROR(SMALL(H50:H53,1)),"-",SMALL(H50:H53,1))</f>
        <v>6</v>
      </c>
      <c r="J50" s="13"/>
      <c r="BA50" s="2">
        <v>1066</v>
      </c>
    </row>
    <row r="51" spans="1:53" ht="15" customHeight="1">
      <c r="A51" s="14"/>
      <c r="B51" s="15"/>
      <c r="C51" s="34">
        <v>718</v>
      </c>
      <c r="D51" s="16" t="str">
        <f>IF(ISERROR(VLOOKUP($C51,'START LİSTE'!$B$6:$F$825,2,0)),"",VLOOKUP($C51,'START LİSTE'!$B$6:$F$825,2,0))</f>
        <v>SEVCAN ÇELİK                                                 </v>
      </c>
      <c r="E51" s="17" t="str">
        <f>IF(ISERROR(VLOOKUP($C51,'START LİSTE'!$B$6:$F$825,4,0)),"",VLOOKUP($C51,'START LİSTE'!$B$6:$F$825,4,0))</f>
        <v>T</v>
      </c>
      <c r="F51" s="18">
        <f>IF(ISERROR(VLOOKUP($C51,'FERDİ SONUÇ'!$B$6:$H$913,6,0)),"",VLOOKUP($C51,'FERDİ SONUÇ'!$B$6:$H$913,6,0))</f>
        <v>514</v>
      </c>
      <c r="G51" s="17">
        <f>IF(OR(E51="",F51="DQ",F51="DNF",F51="DNS",F51=""),"-",VLOOKUP(C51,'FERDİ SONUÇ'!$B$6:$H$913,7,0))</f>
        <v>11</v>
      </c>
      <c r="H51" s="17">
        <f>IF(OR(E51="",E51="F",F51="DQ",F51="DNF",F51="DNS",F51=""),"-",VLOOKUP(C51,'FERDİ SONUÇ'!$B$6:$H$913,7,0))</f>
        <v>11</v>
      </c>
      <c r="I51" s="20">
        <f>IF(ISERROR(SMALL(H50:H53,2)),"-",SMALL(H50:H53,2))</f>
        <v>11</v>
      </c>
      <c r="J51" s="21"/>
      <c r="BA51" s="2">
        <v>1067</v>
      </c>
    </row>
    <row r="52" spans="1:53" ht="15" customHeight="1">
      <c r="A52" s="35">
        <f>IF(AND(B52&lt;&gt;"",J52&lt;&gt;"DQ"),COUNT(J$6:J$125)-(RANK(J52,J$6:J$125)+COUNTIF(J$6:J52,J52))+2,IF(C50&lt;&gt;"",BA52,""))</f>
        <v>5</v>
      </c>
      <c r="B52" s="15" t="str">
        <f>IF(ISERROR(VLOOKUP(C50,'START LİSTE'!$B$6:$F$825,3,0)),"",VLOOKUP(C50,'START LİSTE'!$B$6:$F$825,3,0))</f>
        <v>İSTANBUL-ÜSKÜDAR SPOR KULÜBÜ</v>
      </c>
      <c r="C52" s="34">
        <v>719</v>
      </c>
      <c r="D52" s="16" t="str">
        <f>IF(ISERROR(VLOOKUP($C52,'START LİSTE'!$B$6:$F$825,2,0)),"",VLOOKUP($C52,'START LİSTE'!$B$6:$F$825,2,0))</f>
        <v>NURCAN ÖZ                                                       </v>
      </c>
      <c r="E52" s="17" t="str">
        <f>IF(ISERROR(VLOOKUP($C52,'START LİSTE'!$B$6:$F$825,4,0)),"",VLOOKUP($C52,'START LİSTE'!$B$6:$F$825,4,0))</f>
        <v>T</v>
      </c>
      <c r="F52" s="18">
        <f>IF(ISERROR(VLOOKUP($C52,'FERDİ SONUÇ'!$B$6:$H$913,6,0)),"",VLOOKUP($C52,'FERDİ SONUÇ'!$B$6:$H$913,6,0))</f>
        <v>517</v>
      </c>
      <c r="G52" s="17">
        <f>IF(OR(E52="",F52="DQ",F52="DNF",F52="DNS",F52=""),"-",VLOOKUP(C52,'FERDİ SONUÇ'!$B$6:$H$913,7,0))</f>
        <v>14</v>
      </c>
      <c r="H52" s="17">
        <f>IF(OR(E52="",E52="F",F52="DQ",F52="DNF",F52="DNS",F52=""),"-",VLOOKUP(C52,'FERDİ SONUÇ'!$B$6:$H$913,7,0))</f>
        <v>14</v>
      </c>
      <c r="I52" s="20">
        <f>IF(ISERROR(SMALL(H50:H53,3)),"-",SMALL(H50:H53,3))</f>
        <v>14</v>
      </c>
      <c r="J52" s="22">
        <f>IF(C50="","",IF(OR(I50="-",I51="-",I52="-"),"DQ",SUM(I50,I51,I52)))</f>
        <v>31</v>
      </c>
      <c r="BA52" s="2">
        <v>1068</v>
      </c>
    </row>
    <row r="53" spans="1:53" ht="15" customHeight="1">
      <c r="A53" s="14"/>
      <c r="B53" s="15"/>
      <c r="C53" s="34">
        <v>720</v>
      </c>
      <c r="D53" s="16" t="str">
        <f>IF(ISERROR(VLOOKUP($C53,'START LİSTE'!$B$6:$F$825,2,0)),"",VLOOKUP($C53,'START LİSTE'!$B$6:$F$825,2,0))</f>
        <v>ENİSE ÇORUMLU</v>
      </c>
      <c r="E53" s="17" t="str">
        <f>IF(ISERROR(VLOOKUP($C53,'START LİSTE'!$B$6:$F$825,4,0)),"",VLOOKUP($C53,'START LİSTE'!$B$6:$F$825,4,0))</f>
        <v>T</v>
      </c>
      <c r="F53" s="18">
        <f>IF(ISERROR(VLOOKUP($C53,'FERDİ SONUÇ'!$B$6:$H$913,6,0)),"",VLOOKUP($C53,'FERDİ SONUÇ'!$B$6:$H$913,6,0))</f>
        <v>519</v>
      </c>
      <c r="G53" s="17">
        <f>IF(OR(E53="",F53="DQ",F53="DNF",F53="DNS",F53=""),"-",VLOOKUP(C53,'FERDİ SONUÇ'!$B$6:$H$913,7,0))</f>
        <v>15</v>
      </c>
      <c r="H53" s="17">
        <f>IF(OR(E53="",E53="F",F53="DQ",F53="DNF",F53="DNS",F53=""),"-",VLOOKUP(C53,'FERDİ SONUÇ'!$B$6:$H$913,7,0))</f>
        <v>15</v>
      </c>
      <c r="I53" s="20">
        <f>IF(ISERROR(SMALL(H50:H53,4)),"-",SMALL(H50:H53,4))</f>
        <v>15</v>
      </c>
      <c r="J53" s="21"/>
      <c r="BA53" s="2">
        <v>1069</v>
      </c>
    </row>
    <row r="54" spans="1:53" ht="15" customHeight="1">
      <c r="A54" s="6"/>
      <c r="B54" s="7"/>
      <c r="C54" s="33">
        <v>721</v>
      </c>
      <c r="D54" s="8" t="str">
        <f>IF(ISERROR(VLOOKUP($C54,'START LİSTE'!$B$6:$F$825,2,0)),"",VLOOKUP($C54,'START LİSTE'!$B$6:$F$825,2,0))</f>
        <v>ESRA YILIN</v>
      </c>
      <c r="E54" s="9" t="str">
        <f>IF(ISERROR(VLOOKUP($C54,'START LİSTE'!$B$6:$F$825,4,0)),"",VLOOKUP($C54,'START LİSTE'!$B$6:$F$825,4,0))</f>
        <v>T</v>
      </c>
      <c r="F54" s="10">
        <f>IF(ISERROR(VLOOKUP($C54,'FERDİ SONUÇ'!$B$6:$H$913,6,0)),"",VLOOKUP($C54,'FERDİ SONUÇ'!$B$6:$H$913,6,0))</f>
        <v>526</v>
      </c>
      <c r="G54" s="9">
        <f>IF(OR(E54="",F54="DQ",F54="DNF",F54="DNS",F54=""),"-",VLOOKUP(C54,'FERDİ SONUÇ'!$B$6:$H$913,7,0))</f>
        <v>18</v>
      </c>
      <c r="H54" s="9">
        <f>IF(OR(E54="",E54="F",F54="DQ",F54="DNF",F54="DNS",F54=""),"-",VLOOKUP(C54,'FERDİ SONUÇ'!$B$6:$H$913,7,0))</f>
        <v>18</v>
      </c>
      <c r="I54" s="12">
        <f>IF(ISERROR(SMALL(H54:H57,1)),"-",SMALL(H54:H57,1))</f>
        <v>18</v>
      </c>
      <c r="J54" s="13"/>
      <c r="BA54" s="2">
        <v>1072</v>
      </c>
    </row>
    <row r="55" spans="1:53" ht="15" customHeight="1">
      <c r="A55" s="14"/>
      <c r="B55" s="15"/>
      <c r="C55" s="34">
        <v>722</v>
      </c>
      <c r="D55" s="16" t="str">
        <f>IF(ISERROR(VLOOKUP($C55,'START LİSTE'!$B$6:$F$825,2,0)),"",VLOOKUP($C55,'START LİSTE'!$B$6:$F$825,2,0))</f>
        <v>İREM USTA</v>
      </c>
      <c r="E55" s="17" t="str">
        <f>IF(ISERROR(VLOOKUP($C55,'START LİSTE'!$B$6:$F$825,4,0)),"",VLOOKUP($C55,'START LİSTE'!$B$6:$F$825,4,0))</f>
        <v>T</v>
      </c>
      <c r="F55" s="18">
        <f>IF(ISERROR(VLOOKUP($C55,'FERDİ SONUÇ'!$B$6:$H$913,6,0)),"",VLOOKUP($C55,'FERDİ SONUÇ'!$B$6:$H$913,6,0))</f>
        <v>545</v>
      </c>
      <c r="G55" s="17">
        <f>IF(OR(E55="",F55="DQ",F55="DNF",F55="DNS",F55=""),"-",VLOOKUP(C55,'FERDİ SONUÇ'!$B$6:$H$913,7,0))</f>
        <v>32</v>
      </c>
      <c r="H55" s="17">
        <f>IF(OR(E55="",E55="F",F55="DQ",F55="DNF",F55="DNS",F55=""),"-",VLOOKUP(C55,'FERDİ SONUÇ'!$B$6:$H$913,7,0))</f>
        <v>32</v>
      </c>
      <c r="I55" s="20">
        <f>IF(ISERROR(SMALL(H54:H57,2)),"-",SMALL(H54:H57,2))</f>
        <v>32</v>
      </c>
      <c r="J55" s="21"/>
      <c r="BA55" s="2">
        <v>1073</v>
      </c>
    </row>
    <row r="56" spans="1:53" ht="15" customHeight="1">
      <c r="A56" s="35">
        <f>IF(AND(B56&lt;&gt;"",J56&lt;&gt;"DQ"),COUNT(J$6:J$125)-(RANK(J56,J$6:J$125)+COUNTIF(J$6:J56,J56))+2,IF(C54&lt;&gt;"",BA56,""))</f>
        <v>8</v>
      </c>
      <c r="B56" s="15" t="str">
        <f>IF(ISERROR(VLOOKUP(C54,'START LİSTE'!$B$6:$F$825,3,0)),"",VLOOKUP(C54,'START LİSTE'!$B$6:$F$825,3,0))</f>
        <v>KOCAELİ- BÜYÜKŞEHİR BEL.KAĞITSPOR KULÜBÜ</v>
      </c>
      <c r="C56" s="34">
        <v>723</v>
      </c>
      <c r="D56" s="16" t="str">
        <f>IF(ISERROR(VLOOKUP($C56,'START LİSTE'!$B$6:$F$825,2,0)),"",VLOOKUP($C56,'START LİSTE'!$B$6:$F$825,2,0))</f>
        <v>SÜMEYYE EROL</v>
      </c>
      <c r="E56" s="17" t="str">
        <f>IF(ISERROR(VLOOKUP($C56,'START LİSTE'!$B$6:$F$825,4,0)),"",VLOOKUP($C56,'START LİSTE'!$B$6:$F$825,4,0))</f>
        <v>T</v>
      </c>
      <c r="F56" s="18">
        <f>IF(ISERROR(VLOOKUP($C56,'FERDİ SONUÇ'!$B$6:$H$913,6,0)),"",VLOOKUP($C56,'FERDİ SONUÇ'!$B$6:$H$913,6,0))</f>
        <v>612</v>
      </c>
      <c r="G56" s="17">
        <f>IF(OR(E56="",F56="DQ",F56="DNF",F56="DNS",F56=""),"-",VLOOKUP(C56,'FERDİ SONUÇ'!$B$6:$H$913,7,0))</f>
        <v>56</v>
      </c>
      <c r="H56" s="17">
        <f>IF(OR(E56="",E56="F",F56="DQ",F56="DNF",F56="DNS",F56=""),"-",VLOOKUP(C56,'FERDİ SONUÇ'!$B$6:$H$913,7,0))</f>
        <v>56</v>
      </c>
      <c r="I56" s="20">
        <f>IF(ISERROR(SMALL(H54:H57,3)),"-",SMALL(H54:H57,3))</f>
        <v>40</v>
      </c>
      <c r="J56" s="22">
        <f>IF(C54="","",IF(OR(I54="-",I55="-",I56="-"),"DQ",SUM(I54,I55,I56)))</f>
        <v>90</v>
      </c>
      <c r="BA56" s="2">
        <v>1074</v>
      </c>
    </row>
    <row r="57" spans="1:53" ht="15" customHeight="1">
      <c r="A57" s="14"/>
      <c r="B57" s="15"/>
      <c r="C57" s="34">
        <v>724</v>
      </c>
      <c r="D57" s="16" t="str">
        <f>IF(ISERROR(VLOOKUP($C57,'START LİSTE'!$B$6:$F$825,2,0)),"",VLOOKUP($C57,'START LİSTE'!$B$6:$F$825,2,0))</f>
        <v>DÖNDÜ KOÇ</v>
      </c>
      <c r="E57" s="17" t="str">
        <f>IF(ISERROR(VLOOKUP($C57,'START LİSTE'!$B$6:$F$825,4,0)),"",VLOOKUP($C57,'START LİSTE'!$B$6:$F$825,4,0))</f>
        <v>T</v>
      </c>
      <c r="F57" s="18">
        <f>IF(ISERROR(VLOOKUP($C57,'FERDİ SONUÇ'!$B$6:$H$913,6,0)),"",VLOOKUP($C57,'FERDİ SONUÇ'!$B$6:$H$913,6,0))</f>
        <v>557</v>
      </c>
      <c r="G57" s="17">
        <f>IF(OR(E57="",F57="DQ",F57="DNF",F57="DNS",F57=""),"-",VLOOKUP(C57,'FERDİ SONUÇ'!$B$6:$H$913,7,0))</f>
        <v>40</v>
      </c>
      <c r="H57" s="17">
        <f>IF(OR(E57="",E57="F",F57="DQ",F57="DNF",F57="DNS",F57=""),"-",VLOOKUP(C57,'FERDİ SONUÇ'!$B$6:$H$913,7,0))</f>
        <v>40</v>
      </c>
      <c r="I57" s="20">
        <f>IF(ISERROR(SMALL(H54:H57,4)),"-",SMALL(H54:H57,4))</f>
        <v>56</v>
      </c>
      <c r="J57" s="21"/>
      <c r="BA57" s="2">
        <v>1075</v>
      </c>
    </row>
    <row r="58" spans="1:53" ht="15" customHeight="1">
      <c r="A58" s="6"/>
      <c r="B58" s="7"/>
      <c r="C58" s="33">
        <v>737</v>
      </c>
      <c r="D58" s="8" t="str">
        <f>IF(ISERROR(VLOOKUP($C58,'START LİSTE'!$B$6:$F$825,2,0)),"",VLOOKUP($C58,'START LİSTE'!$B$6:$F$825,2,0))</f>
        <v>SİMGE KONAK</v>
      </c>
      <c r="E58" s="9" t="str">
        <f>IF(ISERROR(VLOOKUP($C58,'START LİSTE'!$B$6:$F$825,4,0)),"",VLOOKUP($C58,'START LİSTE'!$B$6:$F$825,4,0))</f>
        <v>T</v>
      </c>
      <c r="F58" s="10">
        <f>IF(ISERROR(VLOOKUP($C58,'FERDİ SONUÇ'!$B$6:$H$913,6,0)),"",VLOOKUP($C58,'FERDİ SONUÇ'!$B$6:$H$913,6,0))</f>
        <v>539</v>
      </c>
      <c r="G58" s="9">
        <f>IF(OR(E58="",F58="DQ",F58="DNF",F58="DNS",F58=""),"-",VLOOKUP(C58,'FERDİ SONUÇ'!$B$6:$H$913,7,0))</f>
        <v>30</v>
      </c>
      <c r="H58" s="9">
        <f>IF(OR(E58="",E58="F",F58="DQ",F58="DNF",F58="DNS",F58=""),"-",VLOOKUP(C58,'FERDİ SONUÇ'!$B$6:$H$913,7,0))</f>
        <v>30</v>
      </c>
      <c r="I58" s="12">
        <f>IF(ISERROR(SMALL(H58:H61,1)),"-",SMALL(H58:H61,1))</f>
        <v>30</v>
      </c>
      <c r="J58" s="13"/>
      <c r="BA58" s="2">
        <v>1078</v>
      </c>
    </row>
    <row r="59" spans="1:53" ht="15" customHeight="1">
      <c r="A59" s="14"/>
      <c r="B59" s="15"/>
      <c r="C59" s="34">
        <v>738</v>
      </c>
      <c r="D59" s="16" t="str">
        <f>IF(ISERROR(VLOOKUP($C59,'START LİSTE'!$B$6:$F$825,2,0)),"",VLOOKUP($C59,'START LİSTE'!$B$6:$F$825,2,0))</f>
        <v>KÜBRA KABANA</v>
      </c>
      <c r="E59" s="17" t="str">
        <f>IF(ISERROR(VLOOKUP($C59,'START LİSTE'!$B$6:$F$825,4,0)),"",VLOOKUP($C59,'START LİSTE'!$B$6:$F$825,4,0))</f>
        <v>T</v>
      </c>
      <c r="F59" s="18">
        <f>IF(ISERROR(VLOOKUP($C59,'FERDİ SONUÇ'!$B$6:$H$913,6,0)),"",VLOOKUP($C59,'FERDİ SONUÇ'!$B$6:$H$913,6,0))</f>
        <v>549</v>
      </c>
      <c r="G59" s="17">
        <f>IF(OR(E59="",F59="DQ",F59="DNF",F59="DNS",F59=""),"-",VLOOKUP(C59,'FERDİ SONUÇ'!$B$6:$H$913,7,0))</f>
        <v>36</v>
      </c>
      <c r="H59" s="17">
        <f>IF(OR(E59="",E59="F",F59="DQ",F59="DNF",F59="DNS",F59=""),"-",VLOOKUP(C59,'FERDİ SONUÇ'!$B$6:$H$913,7,0))</f>
        <v>36</v>
      </c>
      <c r="I59" s="20">
        <f>IF(ISERROR(SMALL(H58:H61,2)),"-",SMALL(H58:H61,2))</f>
        <v>36</v>
      </c>
      <c r="J59" s="21"/>
      <c r="BA59" s="2">
        <v>1079</v>
      </c>
    </row>
    <row r="60" spans="1:53" ht="15" customHeight="1">
      <c r="A60" s="35">
        <f>IF(AND(B60&lt;&gt;"",J60&lt;&gt;"DQ"),COUNT(J$6:J$125)-(RANK(J60,J$6:J$125)+COUNTIF(J$6:J60,J60))+2,IF(C58&lt;&gt;"",BA60,""))</f>
        <v>10</v>
      </c>
      <c r="B60" s="15" t="str">
        <f>IF(ISERROR(VLOOKUP(C58,'START LİSTE'!$B$6:$F$825,3,0)),"",VLOOKUP(C58,'START LİSTE'!$B$6:$F$825,3,0))</f>
        <v>SAKARYA BÜYÜKŞEHİR BEL.</v>
      </c>
      <c r="C60" s="34">
        <v>739</v>
      </c>
      <c r="D60" s="16" t="str">
        <f>IF(ISERROR(VLOOKUP($C60,'START LİSTE'!$B$6:$F$825,2,0)),"",VLOOKUP($C60,'START LİSTE'!$B$6:$F$825,2,0))</f>
        <v>İLAYDA BULUT</v>
      </c>
      <c r="E60" s="17" t="str">
        <f>IF(ISERROR(VLOOKUP($C60,'START LİSTE'!$B$6:$F$825,4,0)),"",VLOOKUP($C60,'START LİSTE'!$B$6:$F$825,4,0))</f>
        <v>T</v>
      </c>
      <c r="F60" s="18">
        <f>IF(ISERROR(VLOOKUP($C60,'FERDİ SONUÇ'!$B$6:$H$913,6,0)),"",VLOOKUP($C60,'FERDİ SONUÇ'!$B$6:$H$913,6,0))</f>
        <v>611</v>
      </c>
      <c r="G60" s="17">
        <f>IF(OR(E60="",F60="DQ",F60="DNF",F60="DNS",F60=""),"-",VLOOKUP(C60,'FERDİ SONUÇ'!$B$6:$H$913,7,0))</f>
        <v>55</v>
      </c>
      <c r="H60" s="17">
        <f>IF(OR(E60="",E60="F",F60="DQ",F60="DNF",F60="DNS",F60=""),"-",VLOOKUP(C60,'FERDİ SONUÇ'!$B$6:$H$913,7,0))</f>
        <v>55</v>
      </c>
      <c r="I60" s="20">
        <f>IF(ISERROR(SMALL(H58:H61,3)),"-",SMALL(H58:H61,3))</f>
        <v>51</v>
      </c>
      <c r="J60" s="22">
        <f>IF(C58="","",IF(OR(I58="-",I59="-",I60="-"),"DQ",SUM(I58,I59,I60)))</f>
        <v>117</v>
      </c>
      <c r="BA60" s="2">
        <v>1080</v>
      </c>
    </row>
    <row r="61" spans="1:53" ht="15" customHeight="1">
      <c r="A61" s="14"/>
      <c r="B61" s="15"/>
      <c r="C61" s="34">
        <v>740</v>
      </c>
      <c r="D61" s="16" t="str">
        <f>IF(ISERROR(VLOOKUP($C61,'START LİSTE'!$B$6:$F$825,2,0)),"",VLOOKUP($C61,'START LİSTE'!$B$6:$F$825,2,0))</f>
        <v>BUSE İSKENDER</v>
      </c>
      <c r="E61" s="17" t="str">
        <f>IF(ISERROR(VLOOKUP($C61,'START LİSTE'!$B$6:$F$825,4,0)),"",VLOOKUP($C61,'START LİSTE'!$B$6:$F$825,4,0))</f>
        <v>T</v>
      </c>
      <c r="F61" s="18">
        <f>IF(ISERROR(VLOOKUP($C61,'FERDİ SONUÇ'!$B$6:$H$913,6,0)),"",VLOOKUP($C61,'FERDİ SONUÇ'!$B$6:$H$913,6,0))</f>
        <v>608</v>
      </c>
      <c r="G61" s="17">
        <f>IF(OR(E61="",F61="DQ",F61="DNF",F61="DNS",F61=""),"-",VLOOKUP(C61,'FERDİ SONUÇ'!$B$6:$H$913,7,0))</f>
        <v>51</v>
      </c>
      <c r="H61" s="17">
        <f>IF(OR(E61="",E61="F",F61="DQ",F61="DNF",F61="DNS",F61=""),"-",VLOOKUP(C61,'FERDİ SONUÇ'!$B$6:$H$913,7,0))</f>
        <v>51</v>
      </c>
      <c r="I61" s="20">
        <f>IF(ISERROR(SMALL(H58:H61,4)),"-",SMALL(H58:H61,4))</f>
        <v>55</v>
      </c>
      <c r="J61" s="21"/>
      <c r="BA61" s="2">
        <v>1081</v>
      </c>
    </row>
    <row r="62" spans="1:53" ht="15" customHeight="1">
      <c r="A62" s="6"/>
      <c r="B62" s="7"/>
      <c r="C62" s="33">
        <v>741</v>
      </c>
      <c r="D62" s="8" t="str">
        <f>IF(ISERROR(VLOOKUP($C62,'START LİSTE'!$B$6:$F$825,2,0)),"",VLOOKUP($C62,'START LİSTE'!$B$6:$F$825,2,0))</f>
        <v>ÖZGENUR KARASU</v>
      </c>
      <c r="E62" s="9" t="str">
        <f>IF(ISERROR(VLOOKUP($C62,'START LİSTE'!$B$6:$F$825,4,0)),"",VLOOKUP($C62,'START LİSTE'!$B$6:$F$825,4,0))</f>
        <v>T</v>
      </c>
      <c r="F62" s="10">
        <f>IF(ISERROR(VLOOKUP($C62,'FERDİ SONUÇ'!$B$6:$H$913,6,0)),"",VLOOKUP($C62,'FERDİ SONUÇ'!$B$6:$H$913,6,0))</f>
        <v>506</v>
      </c>
      <c r="G62" s="9">
        <f>IF(OR(E62="",F62="DQ",F62="DNF",F62="DNS",F62=""),"-",VLOOKUP(C62,'FERDİ SONUÇ'!$B$6:$H$913,7,0))</f>
        <v>5</v>
      </c>
      <c r="H62" s="9">
        <f>IF(OR(E62="",E62="F",F62="DQ",F62="DNF",F62="DNS",F62=""),"-",VLOOKUP(C62,'FERDİ SONUÇ'!$B$6:$H$913,7,0))</f>
        <v>5</v>
      </c>
      <c r="I62" s="12">
        <f>IF(ISERROR(SMALL(H62:H65,1)),"-",SMALL(H62:H65,1))</f>
        <v>5</v>
      </c>
      <c r="J62" s="13"/>
      <c r="BA62" s="2">
        <v>1084</v>
      </c>
    </row>
    <row r="63" spans="1:53" ht="15" customHeight="1">
      <c r="A63" s="14"/>
      <c r="B63" s="15"/>
      <c r="C63" s="34">
        <v>742</v>
      </c>
      <c r="D63" s="16" t="str">
        <f>IF(ISERROR(VLOOKUP($C63,'START LİSTE'!$B$6:$F$825,2,0)),"",VLOOKUP($C63,'START LİSTE'!$B$6:$F$825,2,0))</f>
        <v>BERİVAN DEMİR</v>
      </c>
      <c r="E63" s="17" t="str">
        <f>IF(ISERROR(VLOOKUP($C63,'START LİSTE'!$B$6:$F$825,4,0)),"",VLOOKUP($C63,'START LİSTE'!$B$6:$F$825,4,0))</f>
        <v>T</v>
      </c>
      <c r="F63" s="18">
        <f>IF(ISERROR(VLOOKUP($C63,'FERDİ SONUÇ'!$B$6:$H$913,6,0)),"",VLOOKUP($C63,'FERDİ SONUÇ'!$B$6:$H$913,6,0))</f>
        <v>511</v>
      </c>
      <c r="G63" s="17">
        <f>IF(OR(E63="",F63="DQ",F63="DNF",F63="DNS",F63=""),"-",VLOOKUP(C63,'FERDİ SONUÇ'!$B$6:$H$913,7,0))</f>
        <v>8</v>
      </c>
      <c r="H63" s="17">
        <f>IF(OR(E63="",E63="F",F63="DQ",F63="DNF",F63="DNS",F63=""),"-",VLOOKUP(C63,'FERDİ SONUÇ'!$B$6:$H$913,7,0))</f>
        <v>8</v>
      </c>
      <c r="I63" s="20">
        <f>IF(ISERROR(SMALL(H62:H65,2)),"-",SMALL(H62:H65,2))</f>
        <v>8</v>
      </c>
      <c r="J63" s="21"/>
      <c r="BA63" s="2">
        <v>1085</v>
      </c>
    </row>
    <row r="64" spans="1:53" ht="15" customHeight="1">
      <c r="A64" s="35">
        <f>IF(AND(B64&lt;&gt;"",J64&lt;&gt;"DQ"),COUNT(J$6:J$125)-(RANK(J64,J$6:J$125)+COUNTIF(J$6:J64,J64))+2,IF(C62&lt;&gt;"",BA64,""))</f>
        <v>2</v>
      </c>
      <c r="B64" s="15" t="str">
        <f>IF(ISERROR(VLOOKUP(C62,'START LİSTE'!$B$6:$F$825,3,0)),"",VLOOKUP(C62,'START LİSTE'!$B$6:$F$825,3,0))</f>
        <v>SAKARYA GENÇLİK HİZMETL..</v>
      </c>
      <c r="C64" s="34">
        <v>743</v>
      </c>
      <c r="D64" s="16" t="str">
        <f>IF(ISERROR(VLOOKUP($C64,'START LİSTE'!$B$6:$F$825,2,0)),"",VLOOKUP($C64,'START LİSTE'!$B$6:$F$825,2,0))</f>
        <v>SİNEM DURGUT</v>
      </c>
      <c r="E64" s="17" t="str">
        <f>IF(ISERROR(VLOOKUP($C64,'START LİSTE'!$B$6:$F$825,4,0)),"",VLOOKUP($C64,'START LİSTE'!$B$6:$F$825,4,0))</f>
        <v>T</v>
      </c>
      <c r="F64" s="18">
        <f>IF(ISERROR(VLOOKUP($C64,'FERDİ SONUÇ'!$B$6:$H$913,6,0)),"",VLOOKUP($C64,'FERDİ SONUÇ'!$B$6:$H$913,6,0))</f>
        <v>514</v>
      </c>
      <c r="G64" s="17">
        <f>IF(OR(E64="",F64="DQ",F64="DNF",F64="DNS",F64=""),"-",VLOOKUP(C64,'FERDİ SONUÇ'!$B$6:$H$913,7,0))</f>
        <v>10</v>
      </c>
      <c r="H64" s="17">
        <f>IF(OR(E64="",E64="F",F64="DQ",F64="DNF",F64="DNS",F64=""),"-",VLOOKUP(C64,'FERDİ SONUÇ'!$B$6:$H$913,7,0))</f>
        <v>10</v>
      </c>
      <c r="I64" s="20">
        <f>IF(ISERROR(SMALL(H62:H65,3)),"-",SMALL(H62:H65,3))</f>
        <v>10</v>
      </c>
      <c r="J64" s="22">
        <f>IF(C62="","",IF(OR(I62="-",I63="-",I64="-"),"DQ",SUM(I62,I63,I64)))</f>
        <v>23</v>
      </c>
      <c r="BA64" s="2">
        <v>1086</v>
      </c>
    </row>
    <row r="65" spans="1:53" ht="15" customHeight="1">
      <c r="A65" s="14"/>
      <c r="B65" s="15"/>
      <c r="C65" s="34">
        <v>744</v>
      </c>
      <c r="D65" s="16" t="str">
        <f>IF(ISERROR(VLOOKUP($C65,'START LİSTE'!$B$6:$F$825,2,0)),"",VLOOKUP($C65,'START LİSTE'!$B$6:$F$825,2,0))</f>
        <v>BEYZA GÜZEL</v>
      </c>
      <c r="E65" s="17" t="str">
        <f>IF(ISERROR(VLOOKUP($C65,'START LİSTE'!$B$6:$F$825,4,0)),"",VLOOKUP($C65,'START LİSTE'!$B$6:$F$825,4,0))</f>
        <v>T</v>
      </c>
      <c r="F65" s="18">
        <f>IF(ISERROR(VLOOKUP($C65,'FERDİ SONUÇ'!$B$6:$H$913,6,0)),"",VLOOKUP($C65,'FERDİ SONUÇ'!$B$6:$H$913,6,0))</f>
        <v>534</v>
      </c>
      <c r="G65" s="17">
        <f>IF(OR(E65="",F65="DQ",F65="DNF",F65="DNS",F65=""),"-",VLOOKUP(C65,'FERDİ SONUÇ'!$B$6:$H$913,7,0))</f>
        <v>27</v>
      </c>
      <c r="H65" s="17">
        <f>IF(OR(E65="",E65="F",F65="DQ",F65="DNF",F65="DNS",F65=""),"-",VLOOKUP(C65,'FERDİ SONUÇ'!$B$6:$H$913,7,0))</f>
        <v>27</v>
      </c>
      <c r="I65" s="20">
        <f>IF(ISERROR(SMALL(H62:H65,4)),"-",SMALL(H62:H65,4))</f>
        <v>27</v>
      </c>
      <c r="J65" s="21"/>
      <c r="BA65" s="2">
        <v>1087</v>
      </c>
    </row>
    <row r="66" spans="1:53" ht="15" customHeight="1">
      <c r="A66" s="6"/>
      <c r="B66" s="7"/>
      <c r="C66" s="33">
        <v>745</v>
      </c>
      <c r="D66" s="8" t="str">
        <f>IF(ISERROR(VLOOKUP($C66,'START LİSTE'!$B$6:$F$825,2,0)),"",VLOOKUP($C66,'START LİSTE'!$B$6:$F$825,2,0))</f>
        <v>MİRAY YAREN YILDIRAN</v>
      </c>
      <c r="E66" s="9" t="str">
        <f>IF(ISERROR(VLOOKUP($C66,'START LİSTE'!$B$6:$F$825,4,0)),"",VLOOKUP($C66,'START LİSTE'!$B$6:$F$825,4,0))</f>
        <v>T</v>
      </c>
      <c r="F66" s="10">
        <f>IF(ISERROR(VLOOKUP($C66,'FERDİ SONUÇ'!$B$6:$H$913,6,0)),"",VLOOKUP($C66,'FERDİ SONUÇ'!$B$6:$H$913,6,0))</f>
        <v>558</v>
      </c>
      <c r="G66" s="9">
        <f>IF(OR(E66="",F66="DQ",F66="DNF",F66="DNS",F66=""),"-",VLOOKUP(C66,'FERDİ SONUÇ'!$B$6:$H$913,7,0))</f>
        <v>41</v>
      </c>
      <c r="H66" s="9">
        <f>IF(OR(E66="",E66="F",F66="DQ",F66="DNF",F66="DNS",F66=""),"-",VLOOKUP(C66,'FERDİ SONUÇ'!$B$6:$H$913,7,0))</f>
        <v>41</v>
      </c>
      <c r="I66" s="12">
        <f>IF(ISERROR(SMALL(H66:H69,1)),"-",SMALL(H66:H69,1))</f>
        <v>31</v>
      </c>
      <c r="J66" s="13"/>
      <c r="BA66" s="2">
        <v>1090</v>
      </c>
    </row>
    <row r="67" spans="1:53" ht="15" customHeight="1">
      <c r="A67" s="14"/>
      <c r="B67" s="15"/>
      <c r="C67" s="34">
        <v>746</v>
      </c>
      <c r="D67" s="16" t="str">
        <f>IF(ISERROR(VLOOKUP($C67,'START LİSTE'!$B$6:$F$825,2,0)),"",VLOOKUP($C67,'START LİSTE'!$B$6:$F$825,2,0))</f>
        <v>EYMEN MUSAOĞLU</v>
      </c>
      <c r="E67" s="17" t="str">
        <f>IF(ISERROR(VLOOKUP($C67,'START LİSTE'!$B$6:$F$825,4,0)),"",VLOOKUP($C67,'START LİSTE'!$B$6:$F$825,4,0))</f>
        <v>T</v>
      </c>
      <c r="F67" s="18">
        <f>IF(ISERROR(VLOOKUP($C67,'FERDİ SONUÇ'!$B$6:$H$913,6,0)),"",VLOOKUP($C67,'FERDİ SONUÇ'!$B$6:$H$913,6,0))</f>
        <v>544</v>
      </c>
      <c r="G67" s="17">
        <f>IF(OR(E67="",F67="DQ",F67="DNF",F67="DNS",F67=""),"-",VLOOKUP(C67,'FERDİ SONUÇ'!$B$6:$H$913,7,0))</f>
        <v>31</v>
      </c>
      <c r="H67" s="17">
        <f>IF(OR(E67="",E67="F",F67="DQ",F67="DNF",F67="DNS",F67=""),"-",VLOOKUP(C67,'FERDİ SONUÇ'!$B$6:$H$913,7,0))</f>
        <v>31</v>
      </c>
      <c r="I67" s="20">
        <f>IF(ISERROR(SMALL(H66:H69,2)),"-",SMALL(H66:H69,2))</f>
        <v>41</v>
      </c>
      <c r="J67" s="21"/>
      <c r="BA67" s="2">
        <v>1091</v>
      </c>
    </row>
    <row r="68" spans="1:53" ht="15" customHeight="1">
      <c r="A68" s="35">
        <f>IF(AND(B68&lt;&gt;"",J68&lt;&gt;"DQ"),COUNT(J$6:J$125)-(RANK(J68,J$6:J$125)+COUNTIF(J$6:J68,J68))+2,IF(C66&lt;&gt;"",BA68,""))</f>
        <v>13</v>
      </c>
      <c r="B68" s="15" t="str">
        <f>IF(ISERROR(VLOOKUP(C66,'START LİSTE'!$B$6:$F$825,3,0)),"",VLOOKUP(C66,'START LİSTE'!$B$6:$F$825,3,0))</f>
        <v>TEKİRDAĞ-GENÇLİK HİZMETLERİ KARMASI</v>
      </c>
      <c r="C68" s="34">
        <v>747</v>
      </c>
      <c r="D68" s="16" t="str">
        <f>IF(ISERROR(VLOOKUP($C68,'START LİSTE'!$B$6:$F$825,2,0)),"",VLOOKUP($C68,'START LİSTE'!$B$6:$F$825,2,0))</f>
        <v>BÜŞRA ÇOBAN</v>
      </c>
      <c r="E68" s="17" t="str">
        <f>IF(ISERROR(VLOOKUP($C68,'START LİSTE'!$B$6:$F$825,4,0)),"",VLOOKUP($C68,'START LİSTE'!$B$6:$F$825,4,0))</f>
        <v>T</v>
      </c>
      <c r="F68" s="18">
        <f>IF(ISERROR(VLOOKUP($C68,'FERDİ SONUÇ'!$B$6:$H$913,6,0)),"",VLOOKUP($C68,'FERDİ SONUÇ'!$B$6:$H$913,6,0))</f>
        <v>636</v>
      </c>
      <c r="G68" s="17">
        <f>IF(OR(E68="",F68="DQ",F68="DNF",F68="DNS",F68=""),"-",VLOOKUP(C68,'FERDİ SONUÇ'!$B$6:$H$913,7,0))</f>
        <v>63</v>
      </c>
      <c r="H68" s="17">
        <f>IF(OR(E68="",E68="F",F68="DQ",F68="DNF",F68="DNS",F68=""),"-",VLOOKUP(C68,'FERDİ SONUÇ'!$B$6:$H$913,7,0))</f>
        <v>63</v>
      </c>
      <c r="I68" s="20">
        <f>IF(ISERROR(SMALL(H66:H69,3)),"-",SMALL(H66:H69,3))</f>
        <v>63</v>
      </c>
      <c r="J68" s="22">
        <f>IF(C66="","",IF(OR(I66="-",I67="-",I68="-"),"DQ",SUM(I66,I67,I68)))</f>
        <v>135</v>
      </c>
      <c r="BA68" s="2">
        <v>1092</v>
      </c>
    </row>
    <row r="69" spans="1:53" ht="15" customHeight="1">
      <c r="A69" s="14"/>
      <c r="B69" s="15"/>
      <c r="C69" s="34">
        <v>748</v>
      </c>
      <c r="D69" s="16" t="str">
        <f>IF(ISERROR(VLOOKUP($C69,'START LİSTE'!$B$6:$F$825,2,0)),"",VLOOKUP($C69,'START LİSTE'!$B$6:$F$825,2,0))</f>
        <v>İREM HACIFAZLIOĞLU</v>
      </c>
      <c r="E69" s="17" t="str">
        <f>IF(ISERROR(VLOOKUP($C69,'START LİSTE'!$B$6:$F$825,4,0)),"",VLOOKUP($C69,'START LİSTE'!$B$6:$F$825,4,0))</f>
        <v>T</v>
      </c>
      <c r="F69" s="18">
        <f>IF(ISERROR(VLOOKUP($C69,'FERDİ SONUÇ'!$B$6:$H$913,6,0)),"",VLOOKUP($C69,'FERDİ SONUÇ'!$B$6:$H$913,6,0))</f>
        <v>638</v>
      </c>
      <c r="G69" s="17">
        <f>IF(OR(E69="",F69="DQ",F69="DNF",F69="DNS",F69=""),"-",VLOOKUP(C69,'FERDİ SONUÇ'!$B$6:$H$913,7,0))</f>
        <v>64</v>
      </c>
      <c r="H69" s="17">
        <f>IF(OR(E69="",E69="F",F69="DQ",F69="DNF",F69="DNS",F69=""),"-",VLOOKUP(C69,'FERDİ SONUÇ'!$B$6:$H$913,7,0))</f>
        <v>64</v>
      </c>
      <c r="I69" s="20">
        <f>IF(ISERROR(SMALL(H66:H69,4)),"-",SMALL(H66:H69,4))</f>
        <v>64</v>
      </c>
      <c r="J69" s="21"/>
      <c r="BA69" s="2">
        <v>1093</v>
      </c>
    </row>
    <row r="70" spans="1:53" ht="15" customHeight="1">
      <c r="A70" s="6"/>
      <c r="B70" s="7"/>
      <c r="C70" s="33">
        <v>749</v>
      </c>
      <c r="D70" s="8" t="str">
        <f>IF(ISERROR(VLOOKUP($C70,'START LİSTE'!$B$6:$F$825,2,0)),"",VLOOKUP($C70,'START LİSTE'!$B$6:$F$825,2,0))</f>
        <v>EDANUR EYÜBOĞLU</v>
      </c>
      <c r="E70" s="9" t="str">
        <f>IF(ISERROR(VLOOKUP($C70,'START LİSTE'!$B$6:$F$825,4,0)),"",VLOOKUP($C70,'START LİSTE'!$B$6:$F$825,4,0))</f>
        <v>T</v>
      </c>
      <c r="F70" s="10">
        <f>IF(ISERROR(VLOOKUP($C70,'FERDİ SONUÇ'!$B$6:$H$913,6,0)),"",VLOOKUP($C70,'FERDİ SONUÇ'!$B$6:$H$913,6,0))</f>
        <v>601</v>
      </c>
      <c r="G70" s="9">
        <f>IF(OR(E70="",F70="DQ",F70="DNF",F70="DNS",F70=""),"-",VLOOKUP(C70,'FERDİ SONUÇ'!$B$6:$H$913,7,0))</f>
        <v>44</v>
      </c>
      <c r="H70" s="9">
        <f>IF(OR(E70="",E70="F",F70="DQ",F70="DNF",F70="DNS",F70=""),"-",VLOOKUP(C70,'FERDİ SONUÇ'!$B$6:$H$913,7,0))</f>
        <v>44</v>
      </c>
      <c r="I70" s="12">
        <f>IF(ISERROR(SMALL(H70:H73,1)),"-",SMALL(H70:H73,1))</f>
        <v>38</v>
      </c>
      <c r="J70" s="13"/>
      <c r="BA70" s="2">
        <v>1096</v>
      </c>
    </row>
    <row r="71" spans="1:53" ht="15" customHeight="1">
      <c r="A71" s="14"/>
      <c r="B71" s="15"/>
      <c r="C71" s="34">
        <v>750</v>
      </c>
      <c r="D71" s="16" t="str">
        <f>IF(ISERROR(VLOOKUP($C71,'START LİSTE'!$B$6:$F$825,2,0)),"",VLOOKUP($C71,'START LİSTE'!$B$6:$F$825,2,0))</f>
        <v>SEMİHA AKSAKALLI</v>
      </c>
      <c r="E71" s="17" t="str">
        <f>IF(ISERROR(VLOOKUP($C71,'START LİSTE'!$B$6:$F$825,4,0)),"",VLOOKUP($C71,'START LİSTE'!$B$6:$F$825,4,0))</f>
        <v>T</v>
      </c>
      <c r="F71" s="18">
        <f>IF(ISERROR(VLOOKUP($C71,'FERDİ SONUÇ'!$B$6:$H$913,6,0)),"",VLOOKUP($C71,'FERDİ SONUÇ'!$B$6:$H$913,6,0))</f>
        <v>553</v>
      </c>
      <c r="G71" s="17">
        <f>IF(OR(E71="",F71="DQ",F71="DNF",F71="DNS",F71=""),"-",VLOOKUP(C71,'FERDİ SONUÇ'!$B$6:$H$913,7,0))</f>
        <v>38</v>
      </c>
      <c r="H71" s="17">
        <f>IF(OR(E71="",E71="F",F71="DQ",F71="DNF",F71="DNS",F71=""),"-",VLOOKUP(C71,'FERDİ SONUÇ'!$B$6:$H$913,7,0))</f>
        <v>38</v>
      </c>
      <c r="I71" s="20">
        <f>IF(ISERROR(SMALL(H70:H73,2)),"-",SMALL(H70:H73,2))</f>
        <v>44</v>
      </c>
      <c r="J71" s="21"/>
      <c r="BA71" s="2">
        <v>1097</v>
      </c>
    </row>
    <row r="72" spans="1:53" ht="15" customHeight="1">
      <c r="A72" s="35">
        <f>IF(AND(B72&lt;&gt;"",J72&lt;&gt;"DQ"),COUNT(J$6:J$125)-(RANK(J72,J$6:J$125)+COUNTIF(J$6:J72,J72))+2,IF(C70&lt;&gt;"",BA72,""))</f>
        <v>12</v>
      </c>
      <c r="B72" s="15" t="str">
        <f>IF(ISERROR(VLOOKUP(C70,'START LİSTE'!$B$6:$F$825,3,0)),"",VLOOKUP(C70,'START LİSTE'!$B$6:$F$825,3,0))</f>
        <v>YALOVA - GHSK</v>
      </c>
      <c r="C72" s="34">
        <v>751</v>
      </c>
      <c r="D72" s="16" t="str">
        <f>IF(ISERROR(VLOOKUP($C72,'START LİSTE'!$B$6:$F$825,2,0)),"",VLOOKUP($C72,'START LİSTE'!$B$6:$F$825,2,0))</f>
        <v>ŞEVVAL CENGİZ</v>
      </c>
      <c r="E72" s="17" t="str">
        <f>IF(ISERROR(VLOOKUP($C72,'START LİSTE'!$B$6:$F$825,4,0)),"",VLOOKUP($C72,'START LİSTE'!$B$6:$F$825,4,0))</f>
        <v>T</v>
      </c>
      <c r="F72" s="18">
        <f>IF(ISERROR(VLOOKUP($C72,'FERDİ SONUÇ'!$B$6:$H$913,6,0)),"",VLOOKUP($C72,'FERDİ SONUÇ'!$B$6:$H$913,6,0))</f>
        <v>615</v>
      </c>
      <c r="G72" s="17">
        <f>IF(OR(E72="",F72="DQ",F72="DNF",F72="DNS",F72=""),"-",VLOOKUP(C72,'FERDİ SONUÇ'!$B$6:$H$913,7,0))</f>
        <v>61</v>
      </c>
      <c r="H72" s="17">
        <f>IF(OR(E72="",E72="F",F72="DQ",F72="DNF",F72="DNS",F72=""),"-",VLOOKUP(C72,'FERDİ SONUÇ'!$B$6:$H$913,7,0))</f>
        <v>61</v>
      </c>
      <c r="I72" s="20">
        <f>IF(ISERROR(SMALL(H70:H73,3)),"-",SMALL(H70:H73,3))</f>
        <v>48</v>
      </c>
      <c r="J72" s="22">
        <f>IF(C70="","",IF(OR(I70="-",I71="-",I72="-"),"DQ",SUM(I70,I71,I72)))</f>
        <v>130</v>
      </c>
      <c r="BA72" s="2">
        <v>1098</v>
      </c>
    </row>
    <row r="73" spans="1:53" ht="15" customHeight="1">
      <c r="A73" s="14"/>
      <c r="B73" s="15"/>
      <c r="C73" s="34">
        <v>752</v>
      </c>
      <c r="D73" s="16" t="str">
        <f>IF(ISERROR(VLOOKUP($C73,'START LİSTE'!$B$6:$F$825,2,0)),"",VLOOKUP($C73,'START LİSTE'!$B$6:$F$825,2,0))</f>
        <v>NEVAL İSRA KURT</v>
      </c>
      <c r="E73" s="17" t="str">
        <f>IF(ISERROR(VLOOKUP($C73,'START LİSTE'!$B$6:$F$825,4,0)),"",VLOOKUP($C73,'START LİSTE'!$B$6:$F$825,4,0))</f>
        <v>T</v>
      </c>
      <c r="F73" s="18">
        <f>IF(ISERROR(VLOOKUP($C73,'FERDİ SONUÇ'!$B$6:$H$913,6,0)),"",VLOOKUP($C73,'FERDİ SONUÇ'!$B$6:$H$913,6,0))</f>
        <v>606</v>
      </c>
      <c r="G73" s="17">
        <f>IF(OR(E73="",F73="DQ",F73="DNF",F73="DNS",F73=""),"-",VLOOKUP(C73,'FERDİ SONUÇ'!$B$6:$H$913,7,0))</f>
        <v>48</v>
      </c>
      <c r="H73" s="17">
        <f>IF(OR(E73="",E73="F",F73="DQ",F73="DNF",F73="DNS",F73=""),"-",VLOOKUP(C73,'FERDİ SONUÇ'!$B$6:$H$913,7,0))</f>
        <v>48</v>
      </c>
      <c r="I73" s="20">
        <f>IF(ISERROR(SMALL(H70:H73,4)),"-",SMALL(H70:H73,4))</f>
        <v>61</v>
      </c>
      <c r="J73" s="21"/>
      <c r="BA73" s="2">
        <v>1099</v>
      </c>
    </row>
    <row r="74" spans="1:53" ht="15" customHeight="1">
      <c r="A74" s="6"/>
      <c r="B74" s="7"/>
      <c r="C74" s="33">
        <v>804</v>
      </c>
      <c r="D74" s="8" t="str">
        <f>IF(ISERROR(VLOOKUP($C74,'START LİSTE'!$B$6:$F$825,2,0)),"",VLOOKUP($C74,'START LİSTE'!$B$6:$F$825,2,0))</f>
        <v>GAMZE TUNCAY</v>
      </c>
      <c r="E74" s="9" t="str">
        <f>IF(ISERROR(VLOOKUP($C74,'START LİSTE'!$B$6:$F$825,4,0)),"",VLOOKUP($C74,'START LİSTE'!$B$6:$F$825,4,0))</f>
        <v>T</v>
      </c>
      <c r="F74" s="10">
        <f>IF(ISERROR(VLOOKUP($C74,'FERDİ SONUÇ'!$B$6:$H$913,6,0)),"",VLOOKUP($C74,'FERDİ SONUÇ'!$B$6:$H$913,6,0))</f>
        <v>615</v>
      </c>
      <c r="G74" s="9">
        <f>IF(OR(E74="",F74="DQ",F74="DNF",F74="DNS",F74=""),"-",VLOOKUP(C74,'FERDİ SONUÇ'!$B$6:$H$913,7,0))</f>
        <v>60</v>
      </c>
      <c r="H74" s="9">
        <f>IF(OR(E74="",E74="F",F74="DQ",F74="DNF",F74="DNS",F74=""),"-",VLOOKUP(C74,'FERDİ SONUÇ'!$B$6:$H$913,7,0))</f>
        <v>60</v>
      </c>
      <c r="I74" s="12">
        <f>IF(ISERROR(SMALL(H74:H77,1)),"-",SMALL(H74:H77,1))</f>
        <v>47</v>
      </c>
      <c r="J74" s="13"/>
      <c r="BA74" s="2">
        <v>1102</v>
      </c>
    </row>
    <row r="75" spans="1:53" ht="15" customHeight="1">
      <c r="A75" s="14"/>
      <c r="B75" s="15"/>
      <c r="C75" s="34">
        <v>805</v>
      </c>
      <c r="D75" s="16" t="str">
        <f>IF(ISERROR(VLOOKUP($C75,'START LİSTE'!$B$6:$F$825,2,0)),"",VLOOKUP($C75,'START LİSTE'!$B$6:$F$825,2,0))</f>
        <v>AYŞE KILIÇ</v>
      </c>
      <c r="E75" s="17" t="str">
        <f>IF(ISERROR(VLOOKUP($C75,'START LİSTE'!$B$6:$F$825,4,0)),"",VLOOKUP($C75,'START LİSTE'!$B$6:$F$825,4,0))</f>
        <v>T</v>
      </c>
      <c r="F75" s="18">
        <f>IF(ISERROR(VLOOKUP($C75,'FERDİ SONUÇ'!$B$6:$H$913,6,0)),"",VLOOKUP($C75,'FERDİ SONUÇ'!$B$6:$H$913,6,0))</f>
        <v>611</v>
      </c>
      <c r="G75" s="17">
        <f>IF(OR(E75="",F75="DQ",F75="DNF",F75="DNS",F75=""),"-",VLOOKUP(C75,'FERDİ SONUÇ'!$B$6:$H$913,7,0))</f>
        <v>54</v>
      </c>
      <c r="H75" s="17">
        <f>IF(OR(E75="",E75="F",F75="DQ",F75="DNF",F75="DNS",F75=""),"-",VLOOKUP(C75,'FERDİ SONUÇ'!$B$6:$H$913,7,0))</f>
        <v>54</v>
      </c>
      <c r="I75" s="20">
        <f>IF(ISERROR(SMALL(H74:H77,2)),"-",SMALL(H74:H77,2))</f>
        <v>54</v>
      </c>
      <c r="J75" s="21"/>
      <c r="BA75" s="2">
        <v>1103</v>
      </c>
    </row>
    <row r="76" spans="1:53" ht="15" customHeight="1">
      <c r="A76" s="35">
        <v>16</v>
      </c>
      <c r="B76" s="15" t="str">
        <f>IF(ISERROR(VLOOKUP(C74,'START LİSTE'!$B$6:$F$825,3,0)),"",VLOOKUP(C74,'START LİSTE'!$B$6:$F$825,3,0))</f>
        <v>KIRKLERELİ GENÇLİK SPOR</v>
      </c>
      <c r="C76" s="34">
        <v>806</v>
      </c>
      <c r="D76" s="16" t="str">
        <f>IF(ISERROR(VLOOKUP($C76,'START LİSTE'!$B$6:$F$825,2,0)),"",VLOOKUP($C76,'START LİSTE'!$B$6:$F$825,2,0))</f>
        <v>HİLAL ÇAKICI</v>
      </c>
      <c r="E76" s="17" t="str">
        <f>IF(ISERROR(VLOOKUP($C76,'START LİSTE'!$B$6:$F$825,4,0)),"",VLOOKUP($C76,'START LİSTE'!$B$6:$F$825,4,0))</f>
        <v>T</v>
      </c>
      <c r="F76" s="18">
        <f>IF(ISERROR(VLOOKUP($C76,'FERDİ SONUÇ'!$B$6:$H$913,6,0)),"",VLOOKUP($C76,'FERDİ SONUÇ'!$B$6:$H$913,6,0))</f>
        <v>605</v>
      </c>
      <c r="G76" s="17">
        <f>IF(OR(E76="",F76="DQ",F76="DNF",F76="DNS",F76=""),"-",VLOOKUP(C76,'FERDİ SONUÇ'!$B$6:$H$913,7,0))</f>
        <v>47</v>
      </c>
      <c r="H76" s="17">
        <f>IF(OR(E76="",E76="F",F76="DQ",F76="DNF",F76="DNS",F76=""),"-",VLOOKUP(C76,'FERDİ SONUÇ'!$B$6:$H$913,7,0))</f>
        <v>47</v>
      </c>
      <c r="I76" s="20">
        <f>IF(ISERROR(SMALL(H74:H77,3)),"-",SMALL(H74:H77,3))</f>
        <v>60</v>
      </c>
      <c r="J76" s="22">
        <f>IF(C74="","",IF(OR(I74="-",I75="-",I76="-"),"DQ",SUM(I74,I75,I76)))</f>
        <v>161</v>
      </c>
      <c r="BA76" s="2">
        <v>1104</v>
      </c>
    </row>
    <row r="77" spans="1:53" ht="15" customHeight="1">
      <c r="A77" s="14"/>
      <c r="B77" s="15"/>
      <c r="C77" s="34">
        <v>807</v>
      </c>
      <c r="D77" s="16" t="str">
        <f>IF(ISERROR(VLOOKUP($C77,'START LİSTE'!$B$6:$F$825,2,0)),"",VLOOKUP($C77,'START LİSTE'!$B$6:$F$825,2,0))</f>
        <v>ÖZNUR ÇEVİK</v>
      </c>
      <c r="E77" s="17" t="str">
        <f>IF(ISERROR(VLOOKUP($C77,'START LİSTE'!$B$6:$F$825,4,0)),"",VLOOKUP($C77,'START LİSTE'!$B$6:$F$825,4,0))</f>
        <v>T</v>
      </c>
      <c r="F77" s="18" t="str">
        <f>IF(ISERROR(VLOOKUP($C77,'FERDİ SONUÇ'!$B$6:$H$913,6,0)),"",VLOOKUP($C77,'FERDİ SONUÇ'!$B$6:$H$913,6,0))</f>
        <v>DNF</v>
      </c>
      <c r="G77" s="17" t="str">
        <f>IF(OR(E77="",F77="DQ",F77="DNF",F77="DNS",F77=""),"-",VLOOKUP(C77,'FERDİ SONUÇ'!$B$6:$H$913,7,0))</f>
        <v>-</v>
      </c>
      <c r="H77" s="17" t="str">
        <f>IF(OR(E77="",E77="F",F77="DQ",F77="DNF",F77="DNS",F77=""),"-",VLOOKUP(C77,'FERDİ SONUÇ'!$B$6:$H$913,7,0))</f>
        <v>-</v>
      </c>
      <c r="I77" s="20" t="str">
        <f>IF(ISERROR(SMALL(H74:H77,4)),"-",SMALL(H74:H77,4))</f>
        <v>-</v>
      </c>
      <c r="J77" s="21"/>
      <c r="BA77" s="2">
        <v>1105</v>
      </c>
    </row>
    <row r="78" spans="1:53" ht="15" customHeight="1">
      <c r="A78" s="6"/>
      <c r="B78" s="7"/>
      <c r="C78" s="33"/>
      <c r="D78" s="8">
        <f>IF(ISERROR(VLOOKUP($C78,'START LİSTE'!$B$6:$F$825,2,0)),"",VLOOKUP($C78,'START LİSTE'!$B$6:$F$825,2,0))</f>
      </c>
      <c r="E78" s="9">
        <f>IF(ISERROR(VLOOKUP($C78,'START LİSTE'!$B$6:$F$825,4,0)),"",VLOOKUP($C78,'START LİSTE'!$B$6:$F$825,4,0))</f>
      </c>
      <c r="F78" s="10">
        <f>IF(ISERROR(VLOOKUP($C78,'FERDİ SONUÇ'!$B$6:$H$913,6,0)),"",VLOOKUP($C78,'FERDİ SONUÇ'!$B$6:$H$913,6,0))</f>
      </c>
      <c r="G78" s="9" t="str">
        <f>IF(OR(E78="",F78="DQ",F78="DNF",F78="DNS",F78=""),"-",VLOOKUP(C78,'FERDİ SONUÇ'!$B$6:$H$913,7,0))</f>
        <v>-</v>
      </c>
      <c r="H78" s="9" t="str">
        <f>IF(OR(E78="",E78="F",F78="DQ",F78="DNF",F78="DNS",F78=""),"-",VLOOKUP(C78,'FERDİ SONUÇ'!$B$6:$H$913,7,0))</f>
        <v>-</v>
      </c>
      <c r="I78" s="12" t="str">
        <f>IF(ISERROR(SMALL(H78:H81,1)),"-",SMALL(H78:H81,1))</f>
        <v>-</v>
      </c>
      <c r="J78" s="13"/>
      <c r="BA78" s="2">
        <v>1108</v>
      </c>
    </row>
    <row r="79" spans="1:53" ht="15" customHeight="1">
      <c r="A79" s="14"/>
      <c r="B79" s="15"/>
      <c r="C79" s="34"/>
      <c r="D79" s="16">
        <f>IF(ISERROR(VLOOKUP($C79,'START LİSTE'!$B$6:$F$825,2,0)),"",VLOOKUP($C79,'START LİSTE'!$B$6:$F$825,2,0))</f>
      </c>
      <c r="E79" s="17">
        <f>IF(ISERROR(VLOOKUP($C79,'START LİSTE'!$B$6:$F$825,4,0)),"",VLOOKUP($C79,'START LİSTE'!$B$6:$F$825,4,0))</f>
      </c>
      <c r="F79" s="18">
        <f>IF(ISERROR(VLOOKUP($C79,'FERDİ SONUÇ'!$B$6:$H$913,6,0)),"",VLOOKUP($C79,'FERDİ SONUÇ'!$B$6:$H$913,6,0))</f>
      </c>
      <c r="G79" s="17" t="str">
        <f>IF(OR(E79="",F79="DQ",F79="DNF",F79="DNS",F79=""),"-",VLOOKUP(C79,'FERDİ SONUÇ'!$B$6:$H$913,7,0))</f>
        <v>-</v>
      </c>
      <c r="H79" s="17" t="str">
        <f>IF(OR(E79="",E79="F",F79="DQ",F79="DNF",F79="DNS",F79=""),"-",VLOOKUP(C79,'FERDİ SONUÇ'!$B$6:$H$913,7,0))</f>
        <v>-</v>
      </c>
      <c r="I79" s="20" t="str">
        <f>IF(ISERROR(SMALL(H78:H81,2)),"-",SMALL(H78:H81,2))</f>
        <v>-</v>
      </c>
      <c r="J79" s="21"/>
      <c r="BA79" s="2">
        <v>1109</v>
      </c>
    </row>
    <row r="80" spans="1:53" ht="15" customHeight="1">
      <c r="A80" s="35">
        <f>IF(AND(B80&lt;&gt;"",J80&lt;&gt;"DQ"),COUNT(J$6:J$125)-(RANK(J80,J$6:J$125)+COUNTIF(J$6:J80,J80))+2,IF(C78&lt;&gt;"",BA80,""))</f>
      </c>
      <c r="B80" s="15">
        <f>IF(ISERROR(VLOOKUP(C78,'START LİSTE'!$B$6:$F$825,3,0)),"",VLOOKUP(C78,'START LİSTE'!$B$6:$F$825,3,0))</f>
      </c>
      <c r="C80" s="34"/>
      <c r="D80" s="16">
        <f>IF(ISERROR(VLOOKUP($C80,'START LİSTE'!$B$6:$F$825,2,0)),"",VLOOKUP($C80,'START LİSTE'!$B$6:$F$825,2,0))</f>
      </c>
      <c r="E80" s="17">
        <f>IF(ISERROR(VLOOKUP($C80,'START LİSTE'!$B$6:$F$825,4,0)),"",VLOOKUP($C80,'START LİSTE'!$B$6:$F$825,4,0))</f>
      </c>
      <c r="F80" s="18">
        <f>IF(ISERROR(VLOOKUP($C80,'FERDİ SONUÇ'!$B$6:$H$913,6,0)),"",VLOOKUP($C80,'FERDİ SONUÇ'!$B$6:$H$913,6,0))</f>
      </c>
      <c r="G80" s="17" t="str">
        <f>IF(OR(E80="",F80="DQ",F80="DNF",F80="DNS",F80=""),"-",VLOOKUP(C80,'FERDİ SONUÇ'!$B$6:$H$913,7,0))</f>
        <v>-</v>
      </c>
      <c r="H80" s="17" t="str">
        <f>IF(OR(E80="",E80="F",F80="DQ",F80="DNF",F80="DNS",F80=""),"-",VLOOKUP(C80,'FERDİ SONUÇ'!$B$6:$H$913,7,0))</f>
        <v>-</v>
      </c>
      <c r="I80" s="20" t="str">
        <f>IF(ISERROR(SMALL(H78:H81,3)),"-",SMALL(H78:H81,3))</f>
        <v>-</v>
      </c>
      <c r="J80" s="22">
        <f>IF(C78="","",IF(OR(I78="-",I79="-",I80="-"),"DQ",SUM(I78,I79,I80)))</f>
      </c>
      <c r="BA80" s="2">
        <v>1110</v>
      </c>
    </row>
    <row r="81" spans="1:53" ht="15" customHeight="1">
      <c r="A81" s="14"/>
      <c r="B81" s="15"/>
      <c r="C81" s="34"/>
      <c r="D81" s="16">
        <f>IF(ISERROR(VLOOKUP($C81,'START LİSTE'!$B$6:$F$825,2,0)),"",VLOOKUP($C81,'START LİSTE'!$B$6:$F$825,2,0))</f>
      </c>
      <c r="E81" s="17">
        <f>IF(ISERROR(VLOOKUP($C81,'START LİSTE'!$B$6:$F$825,4,0)),"",VLOOKUP($C81,'START LİSTE'!$B$6:$F$825,4,0))</f>
      </c>
      <c r="F81" s="18">
        <f>IF(ISERROR(VLOOKUP($C81,'FERDİ SONUÇ'!$B$6:$H$913,6,0)),"",VLOOKUP($C81,'FERDİ SONUÇ'!$B$6:$H$913,6,0))</f>
      </c>
      <c r="G81" s="17" t="str">
        <f>IF(OR(E81="",F81="DQ",F81="DNF",F81="DNS",F81=""),"-",VLOOKUP(C81,'FERDİ SONUÇ'!$B$6:$H$913,7,0))</f>
        <v>-</v>
      </c>
      <c r="H81" s="17" t="str">
        <f>IF(OR(E81="",E81="F",F81="DQ",F81="DNF",F81="DNS",F81=""),"-",VLOOKUP(C81,'FERDİ SONUÇ'!$B$6:$H$913,7,0))</f>
        <v>-</v>
      </c>
      <c r="I81" s="20" t="str">
        <f>IF(ISERROR(SMALL(H78:H81,4)),"-",SMALL(H78:H81,4))</f>
        <v>-</v>
      </c>
      <c r="J81" s="21"/>
      <c r="BA81" s="2">
        <v>1111</v>
      </c>
    </row>
    <row r="82" spans="1:53" ht="15" customHeight="1">
      <c r="A82" s="6"/>
      <c r="B82" s="7"/>
      <c r="C82" s="33"/>
      <c r="D82" s="8">
        <f>IF(ISERROR(VLOOKUP($C82,'START LİSTE'!$B$6:$F$825,2,0)),"",VLOOKUP($C82,'START LİSTE'!$B$6:$F$825,2,0))</f>
      </c>
      <c r="E82" s="9">
        <f>IF(ISERROR(VLOOKUP($C82,'START LİSTE'!$B$6:$F$825,4,0)),"",VLOOKUP($C82,'START LİSTE'!$B$6:$F$825,4,0))</f>
      </c>
      <c r="F82" s="10">
        <f>IF(ISERROR(VLOOKUP($C82,'FERDİ SONUÇ'!$B$6:$H$913,6,0)),"",VLOOKUP($C82,'FERDİ SONUÇ'!$B$6:$H$913,6,0))</f>
      </c>
      <c r="G82" s="9" t="str">
        <f>IF(OR(E82="",F82="DQ",F82="DNF",F82="DNS",F82=""),"-",VLOOKUP(C82,'FERDİ SONUÇ'!$B$6:$H$913,7,0))</f>
        <v>-</v>
      </c>
      <c r="H82" s="9" t="str">
        <f>IF(OR(E82="",E82="F",F82="DQ",F82="DNF",F82="DNS",F82=""),"-",VLOOKUP(C82,'FERDİ SONUÇ'!$B$6:$H$913,7,0))</f>
        <v>-</v>
      </c>
      <c r="I82" s="12" t="str">
        <f>IF(ISERROR(SMALL(H82:H85,1)),"-",SMALL(H82:H85,1))</f>
        <v>-</v>
      </c>
      <c r="J82" s="13"/>
      <c r="BA82" s="2">
        <v>1114</v>
      </c>
    </row>
    <row r="83" spans="1:53" ht="15" customHeight="1">
      <c r="A83" s="14"/>
      <c r="B83" s="15"/>
      <c r="C83" s="34"/>
      <c r="D83" s="16">
        <f>IF(ISERROR(VLOOKUP($C83,'START LİSTE'!$B$6:$F$825,2,0)),"",VLOOKUP($C83,'START LİSTE'!$B$6:$F$825,2,0))</f>
      </c>
      <c r="E83" s="17">
        <f>IF(ISERROR(VLOOKUP($C83,'START LİSTE'!$B$6:$F$825,4,0)),"",VLOOKUP($C83,'START LİSTE'!$B$6:$F$825,4,0))</f>
      </c>
      <c r="F83" s="18">
        <f>IF(ISERROR(VLOOKUP($C83,'FERDİ SONUÇ'!$B$6:$H$913,6,0)),"",VLOOKUP($C83,'FERDİ SONUÇ'!$B$6:$H$913,6,0))</f>
      </c>
      <c r="G83" s="17" t="str">
        <f>IF(OR(E83="",F83="DQ",F83="DNF",F83="DNS",F83=""),"-",VLOOKUP(C83,'FERDİ SONUÇ'!$B$6:$H$913,7,0))</f>
        <v>-</v>
      </c>
      <c r="H83" s="17" t="str">
        <f>IF(OR(E83="",E83="F",F83="DQ",F83="DNF",F83="DNS",F83=""),"-",VLOOKUP(C83,'FERDİ SONUÇ'!$B$6:$H$913,7,0))</f>
        <v>-</v>
      </c>
      <c r="I83" s="20" t="str">
        <f>IF(ISERROR(SMALL(H82:H85,2)),"-",SMALL(H82:H85,2))</f>
        <v>-</v>
      </c>
      <c r="J83" s="21"/>
      <c r="BA83" s="2">
        <v>1115</v>
      </c>
    </row>
    <row r="84" spans="1:53" ht="15" customHeight="1">
      <c r="A84" s="35">
        <f>IF(AND(B84&lt;&gt;"",J84&lt;&gt;"DQ"),COUNT(J$6:J$125)-(RANK(J84,J$6:J$125)+COUNTIF(J$6:J84,J84))+2,IF(C82&lt;&gt;"",BA84,""))</f>
      </c>
      <c r="B84" s="15">
        <f>IF(ISERROR(VLOOKUP(C82,'START LİSTE'!$B$6:$F$825,3,0)),"",VLOOKUP(C82,'START LİSTE'!$B$6:$F$825,3,0))</f>
      </c>
      <c r="C84" s="34"/>
      <c r="D84" s="16">
        <f>IF(ISERROR(VLOOKUP($C84,'START LİSTE'!$B$6:$F$825,2,0)),"",VLOOKUP($C84,'START LİSTE'!$B$6:$F$825,2,0))</f>
      </c>
      <c r="E84" s="17">
        <f>IF(ISERROR(VLOOKUP($C84,'START LİSTE'!$B$6:$F$825,4,0)),"",VLOOKUP($C84,'START LİSTE'!$B$6:$F$825,4,0))</f>
      </c>
      <c r="F84" s="18">
        <f>IF(ISERROR(VLOOKUP($C84,'FERDİ SONUÇ'!$B$6:$H$913,6,0)),"",VLOOKUP($C84,'FERDİ SONUÇ'!$B$6:$H$913,6,0))</f>
      </c>
      <c r="G84" s="17" t="str">
        <f>IF(OR(E84="",F84="DQ",F84="DNF",F84="DNS",F84=""),"-",VLOOKUP(C84,'FERDİ SONUÇ'!$B$6:$H$913,7,0))</f>
        <v>-</v>
      </c>
      <c r="H84" s="17" t="str">
        <f>IF(OR(E84="",E84="F",F84="DQ",F84="DNF",F84="DNS",F84=""),"-",VLOOKUP(C84,'FERDİ SONUÇ'!$B$6:$H$913,7,0))</f>
        <v>-</v>
      </c>
      <c r="I84" s="20" t="str">
        <f>IF(ISERROR(SMALL(H82:H85,3)),"-",SMALL(H82:H85,3))</f>
        <v>-</v>
      </c>
      <c r="J84" s="22">
        <f>IF(C82="","",IF(OR(I82="-",I83="-",I84="-"),"DQ",SUM(I82,I83,I84)))</f>
      </c>
      <c r="BA84" s="2">
        <v>1116</v>
      </c>
    </row>
    <row r="85" spans="1:53" ht="15" customHeight="1">
      <c r="A85" s="14"/>
      <c r="B85" s="15"/>
      <c r="C85" s="34"/>
      <c r="D85" s="16">
        <f>IF(ISERROR(VLOOKUP($C85,'START LİSTE'!$B$6:$F$825,2,0)),"",VLOOKUP($C85,'START LİSTE'!$B$6:$F$825,2,0))</f>
      </c>
      <c r="E85" s="17">
        <f>IF(ISERROR(VLOOKUP($C85,'START LİSTE'!$B$6:$F$825,4,0)),"",VLOOKUP($C85,'START LİSTE'!$B$6:$F$825,4,0))</f>
      </c>
      <c r="F85" s="18">
        <f>IF(ISERROR(VLOOKUP($C85,'FERDİ SONUÇ'!$B$6:$H$913,6,0)),"",VLOOKUP($C85,'FERDİ SONUÇ'!$B$6:$H$913,6,0))</f>
      </c>
      <c r="G85" s="17" t="str">
        <f>IF(OR(E85="",F85="DQ",F85="DNF",F85="DNS",F85=""),"-",VLOOKUP(C85,'FERDİ SONUÇ'!$B$6:$H$913,7,0))</f>
        <v>-</v>
      </c>
      <c r="H85" s="17" t="str">
        <f>IF(OR(E85="",E85="F",F85="DQ",F85="DNF",F85="DNS",F85=""),"-",VLOOKUP(C85,'FERDİ SONUÇ'!$B$6:$H$913,7,0))</f>
        <v>-</v>
      </c>
      <c r="I85" s="20" t="str">
        <f>IF(ISERROR(SMALL(H82:H85,4)),"-",SMALL(H82:H85,4))</f>
        <v>-</v>
      </c>
      <c r="J85" s="21"/>
      <c r="BA85" s="2">
        <v>1117</v>
      </c>
    </row>
    <row r="86" spans="1:53" ht="15" customHeight="1">
      <c r="A86" s="6"/>
      <c r="B86" s="7"/>
      <c r="C86" s="33"/>
      <c r="D86" s="8">
        <f>IF(ISERROR(VLOOKUP($C86,'START LİSTE'!$B$6:$F$825,2,0)),"",VLOOKUP($C86,'START LİSTE'!$B$6:$F$825,2,0))</f>
      </c>
      <c r="E86" s="9">
        <f>IF(ISERROR(VLOOKUP($C86,'START LİSTE'!$B$6:$F$825,4,0)),"",VLOOKUP($C86,'START LİSTE'!$B$6:$F$825,4,0))</f>
      </c>
      <c r="F86" s="10">
        <f>IF(ISERROR(VLOOKUP($C86,'FERDİ SONUÇ'!$B$6:$H$913,6,0)),"",VLOOKUP($C86,'FERDİ SONUÇ'!$B$6:$H$913,6,0))</f>
      </c>
      <c r="G86" s="9" t="str">
        <f>IF(OR(E86="",F86="DQ",F86="DNF",F86="DNS",F86=""),"-",VLOOKUP(C86,'FERDİ SONUÇ'!$B$6:$H$913,7,0))</f>
        <v>-</v>
      </c>
      <c r="H86" s="9" t="str">
        <f>IF(OR(E86="",E86="F",F86="DQ",F86="DNF",F86="DNS",F86=""),"-",VLOOKUP(C86,'FERDİ SONUÇ'!$B$6:$H$913,7,0))</f>
        <v>-</v>
      </c>
      <c r="I86" s="12" t="str">
        <f>IF(ISERROR(SMALL(H86:H89,1)),"-",SMALL(H86:H89,1))</f>
        <v>-</v>
      </c>
      <c r="J86" s="13"/>
      <c r="BA86" s="2">
        <v>1120</v>
      </c>
    </row>
    <row r="87" spans="1:53" ht="15" customHeight="1">
      <c r="A87" s="14"/>
      <c r="B87" s="15"/>
      <c r="C87" s="34"/>
      <c r="D87" s="16">
        <f>IF(ISERROR(VLOOKUP($C87,'START LİSTE'!$B$6:$F$825,2,0)),"",VLOOKUP($C87,'START LİSTE'!$B$6:$F$825,2,0))</f>
      </c>
      <c r="E87" s="17">
        <f>IF(ISERROR(VLOOKUP($C87,'START LİSTE'!$B$6:$F$825,4,0)),"",VLOOKUP($C87,'START LİSTE'!$B$6:$F$825,4,0))</f>
      </c>
      <c r="F87" s="18">
        <f>IF(ISERROR(VLOOKUP($C87,'FERDİ SONUÇ'!$B$6:$H$913,6,0)),"",VLOOKUP($C87,'FERDİ SONUÇ'!$B$6:$H$913,6,0))</f>
      </c>
      <c r="G87" s="17" t="str">
        <f>IF(OR(E87="",F87="DQ",F87="DNF",F87="DNS",F87=""),"-",VLOOKUP(C87,'FERDİ SONUÇ'!$B$6:$H$913,7,0))</f>
        <v>-</v>
      </c>
      <c r="H87" s="17" t="str">
        <f>IF(OR(E87="",E87="F",F87="DQ",F87="DNF",F87="DNS",F87=""),"-",VLOOKUP(C87,'FERDİ SONUÇ'!$B$6:$H$913,7,0))</f>
        <v>-</v>
      </c>
      <c r="I87" s="20" t="str">
        <f>IF(ISERROR(SMALL(H86:H89,2)),"-",SMALL(H86:H89,2))</f>
        <v>-</v>
      </c>
      <c r="J87" s="21"/>
      <c r="BA87" s="2">
        <v>1121</v>
      </c>
    </row>
    <row r="88" spans="1:53" ht="15" customHeight="1">
      <c r="A88" s="35">
        <f>IF(AND(B88&lt;&gt;"",J88&lt;&gt;"DQ"),COUNT(J$6:J$125)-(RANK(J88,J$6:J$125)+COUNTIF(J$6:J88,J88))+2,IF(C86&lt;&gt;"",BA88,""))</f>
      </c>
      <c r="B88" s="15">
        <f>IF(ISERROR(VLOOKUP(C86,'START LİSTE'!$B$6:$F$825,3,0)),"",VLOOKUP(C86,'START LİSTE'!$B$6:$F$825,3,0))</f>
      </c>
      <c r="C88" s="34"/>
      <c r="D88" s="16">
        <f>IF(ISERROR(VLOOKUP($C88,'START LİSTE'!$B$6:$F$825,2,0)),"",VLOOKUP($C88,'START LİSTE'!$B$6:$F$825,2,0))</f>
      </c>
      <c r="E88" s="17">
        <f>IF(ISERROR(VLOOKUP($C88,'START LİSTE'!$B$6:$F$825,4,0)),"",VLOOKUP($C88,'START LİSTE'!$B$6:$F$825,4,0))</f>
      </c>
      <c r="F88" s="18">
        <f>IF(ISERROR(VLOOKUP($C88,'FERDİ SONUÇ'!$B$6:$H$913,6,0)),"",VLOOKUP($C88,'FERDİ SONUÇ'!$B$6:$H$913,6,0))</f>
      </c>
      <c r="G88" s="17" t="str">
        <f>IF(OR(E88="",F88="DQ",F88="DNF",F88="DNS",F88=""),"-",VLOOKUP(C88,'FERDİ SONUÇ'!$B$6:$H$913,7,0))</f>
        <v>-</v>
      </c>
      <c r="H88" s="17" t="str">
        <f>IF(OR(E88="",E88="F",F88="DQ",F88="DNF",F88="DNS",F88=""),"-",VLOOKUP(C88,'FERDİ SONUÇ'!$B$6:$H$913,7,0))</f>
        <v>-</v>
      </c>
      <c r="I88" s="20" t="str">
        <f>IF(ISERROR(SMALL(H86:H89,3)),"-",SMALL(H86:H89,3))</f>
        <v>-</v>
      </c>
      <c r="J88" s="22">
        <f>IF(C86="","",IF(OR(I86="-",I87="-",I88="-"),"DQ",SUM(I86,I87,I88)))</f>
      </c>
      <c r="BA88" s="2">
        <v>1122</v>
      </c>
    </row>
    <row r="89" spans="1:53" ht="15" customHeight="1">
      <c r="A89" s="14"/>
      <c r="B89" s="15"/>
      <c r="C89" s="34"/>
      <c r="D89" s="16">
        <f>IF(ISERROR(VLOOKUP($C89,'START LİSTE'!$B$6:$F$825,2,0)),"",VLOOKUP($C89,'START LİSTE'!$B$6:$F$825,2,0))</f>
      </c>
      <c r="E89" s="17">
        <f>IF(ISERROR(VLOOKUP($C89,'START LİSTE'!$B$6:$F$825,4,0)),"",VLOOKUP($C89,'START LİSTE'!$B$6:$F$825,4,0))</f>
      </c>
      <c r="F89" s="18">
        <f>IF(ISERROR(VLOOKUP($C89,'FERDİ SONUÇ'!$B$6:$H$913,6,0)),"",VLOOKUP($C89,'FERDİ SONUÇ'!$B$6:$H$913,6,0))</f>
      </c>
      <c r="G89" s="17" t="str">
        <f>IF(OR(E89="",F89="DQ",F89="DNF",F89="DNS",F89=""),"-",VLOOKUP(C89,'FERDİ SONUÇ'!$B$6:$H$913,7,0))</f>
        <v>-</v>
      </c>
      <c r="H89" s="17" t="str">
        <f>IF(OR(E89="",E89="F",F89="DQ",F89="DNF",F89="DNS",F89=""),"-",VLOOKUP(C89,'FERDİ SONUÇ'!$B$6:$H$913,7,0))</f>
        <v>-</v>
      </c>
      <c r="I89" s="20" t="str">
        <f>IF(ISERROR(SMALL(H86:H89,4)),"-",SMALL(H86:H89,4))</f>
        <v>-</v>
      </c>
      <c r="J89" s="21"/>
      <c r="BA89" s="2">
        <v>1123</v>
      </c>
    </row>
    <row r="90" spans="1:53" ht="15" customHeight="1">
      <c r="A90" s="6"/>
      <c r="B90" s="7"/>
      <c r="C90" s="33"/>
      <c r="D90" s="8">
        <f>IF(ISERROR(VLOOKUP($C90,'START LİSTE'!$B$6:$F$825,2,0)),"",VLOOKUP($C90,'START LİSTE'!$B$6:$F$825,2,0))</f>
      </c>
      <c r="E90" s="9">
        <f>IF(ISERROR(VLOOKUP($C90,'START LİSTE'!$B$6:$F$825,4,0)),"",VLOOKUP($C90,'START LİSTE'!$B$6:$F$825,4,0))</f>
      </c>
      <c r="F90" s="10">
        <f>IF(ISERROR(VLOOKUP($C90,'FERDİ SONUÇ'!$B$6:$H$913,6,0)),"",VLOOKUP($C90,'FERDİ SONUÇ'!$B$6:$H$913,6,0))</f>
      </c>
      <c r="G90" s="9" t="str">
        <f>IF(OR(E90="",F90="DQ",F90="DNF",F90="DNS",F90=""),"-",VLOOKUP(C90,'FERDİ SONUÇ'!$B$6:$H$913,7,0))</f>
        <v>-</v>
      </c>
      <c r="H90" s="9" t="str">
        <f>IF(OR(E90="",E90="F",F90="DQ",F90="DNF",F90="DNS",F90=""),"-",VLOOKUP(C90,'FERDİ SONUÇ'!$B$6:$H$913,7,0))</f>
        <v>-</v>
      </c>
      <c r="I90" s="12" t="str">
        <f>IF(ISERROR(SMALL(H90:H93,1)),"-",SMALL(H90:H93,1))</f>
        <v>-</v>
      </c>
      <c r="J90" s="13"/>
      <c r="BA90" s="2">
        <v>1126</v>
      </c>
    </row>
    <row r="91" spans="1:53" ht="15" customHeight="1">
      <c r="A91" s="14"/>
      <c r="B91" s="15"/>
      <c r="C91" s="34"/>
      <c r="D91" s="16">
        <f>IF(ISERROR(VLOOKUP($C91,'START LİSTE'!$B$6:$F$825,2,0)),"",VLOOKUP($C91,'START LİSTE'!$B$6:$F$825,2,0))</f>
      </c>
      <c r="E91" s="17">
        <f>IF(ISERROR(VLOOKUP($C91,'START LİSTE'!$B$6:$F$825,4,0)),"",VLOOKUP($C91,'START LİSTE'!$B$6:$F$825,4,0))</f>
      </c>
      <c r="F91" s="18">
        <f>IF(ISERROR(VLOOKUP($C91,'FERDİ SONUÇ'!$B$6:$H$913,6,0)),"",VLOOKUP($C91,'FERDİ SONUÇ'!$B$6:$H$913,6,0))</f>
      </c>
      <c r="G91" s="17" t="str">
        <f>IF(OR(E91="",F91="DQ",F91="DNF",F91="DNS",F91=""),"-",VLOOKUP(C91,'FERDİ SONUÇ'!$B$6:$H$913,7,0))</f>
        <v>-</v>
      </c>
      <c r="H91" s="17" t="str">
        <f>IF(OR(E91="",E91="F",F91="DQ",F91="DNF",F91="DNS",F91=""),"-",VLOOKUP(C91,'FERDİ SONUÇ'!$B$6:$H$913,7,0))</f>
        <v>-</v>
      </c>
      <c r="I91" s="20" t="str">
        <f>IF(ISERROR(SMALL(H90:H93,2)),"-",SMALL(H90:H93,2))</f>
        <v>-</v>
      </c>
      <c r="J91" s="21"/>
      <c r="BA91" s="2">
        <v>1127</v>
      </c>
    </row>
    <row r="92" spans="1:53" ht="15" customHeight="1">
      <c r="A92" s="35">
        <f>IF(AND(B92&lt;&gt;"",J92&lt;&gt;"DQ"),COUNT(J$6:J$125)-(RANK(J92,J$6:J$125)+COUNTIF(J$6:J92,J92))+2,IF(C90&lt;&gt;"",BA92,""))</f>
      </c>
      <c r="B92" s="15">
        <f>IF(ISERROR(VLOOKUP(C90,'START LİSTE'!$B$6:$F$825,3,0)),"",VLOOKUP(C90,'START LİSTE'!$B$6:$F$825,3,0))</f>
      </c>
      <c r="C92" s="34"/>
      <c r="D92" s="16">
        <f>IF(ISERROR(VLOOKUP($C92,'START LİSTE'!$B$6:$F$825,2,0)),"",VLOOKUP($C92,'START LİSTE'!$B$6:$F$825,2,0))</f>
      </c>
      <c r="E92" s="17">
        <f>IF(ISERROR(VLOOKUP($C92,'START LİSTE'!$B$6:$F$825,4,0)),"",VLOOKUP($C92,'START LİSTE'!$B$6:$F$825,4,0))</f>
      </c>
      <c r="F92" s="18">
        <f>IF(ISERROR(VLOOKUP($C92,'FERDİ SONUÇ'!$B$6:$H$913,6,0)),"",VLOOKUP($C92,'FERDİ SONUÇ'!$B$6:$H$913,6,0))</f>
      </c>
      <c r="G92" s="17" t="str">
        <f>IF(OR(E92="",F92="DQ",F92="DNF",F92="DNS",F92=""),"-",VLOOKUP(C92,'FERDİ SONUÇ'!$B$6:$H$913,7,0))</f>
        <v>-</v>
      </c>
      <c r="H92" s="17" t="str">
        <f>IF(OR(E92="",E92="F",F92="DQ",F92="DNF",F92="DNS",F92=""),"-",VLOOKUP(C92,'FERDİ SONUÇ'!$B$6:$H$913,7,0))</f>
        <v>-</v>
      </c>
      <c r="I92" s="20" t="str">
        <f>IF(ISERROR(SMALL(H90:H93,3)),"-",SMALL(H90:H93,3))</f>
        <v>-</v>
      </c>
      <c r="J92" s="22">
        <f>IF(C90="","",IF(OR(I90="-",I91="-",I92="-"),"DQ",SUM(I90,I91,I92)))</f>
      </c>
      <c r="BA92" s="2">
        <v>1128</v>
      </c>
    </row>
    <row r="93" spans="1:53" ht="15" customHeight="1">
      <c r="A93" s="14"/>
      <c r="B93" s="15"/>
      <c r="C93" s="34"/>
      <c r="D93" s="16">
        <f>IF(ISERROR(VLOOKUP($C93,'START LİSTE'!$B$6:$F$825,2,0)),"",VLOOKUP($C93,'START LİSTE'!$B$6:$F$825,2,0))</f>
      </c>
      <c r="E93" s="17">
        <f>IF(ISERROR(VLOOKUP($C93,'START LİSTE'!$B$6:$F$825,4,0)),"",VLOOKUP($C93,'START LİSTE'!$B$6:$F$825,4,0))</f>
      </c>
      <c r="F93" s="18">
        <f>IF(ISERROR(VLOOKUP($C93,'FERDİ SONUÇ'!$B$6:$H$913,6,0)),"",VLOOKUP($C93,'FERDİ SONUÇ'!$B$6:$H$913,6,0))</f>
      </c>
      <c r="G93" s="17" t="str">
        <f>IF(OR(E93="",F93="DQ",F93="DNF",F93="DNS",F93=""),"-",VLOOKUP(C93,'FERDİ SONUÇ'!$B$6:$H$913,7,0))</f>
        <v>-</v>
      </c>
      <c r="H93" s="17" t="str">
        <f>IF(OR(E93="",E93="F",F93="DQ",F93="DNF",F93="DNS",F93=""),"-",VLOOKUP(C93,'FERDİ SONUÇ'!$B$6:$H$913,7,0))</f>
        <v>-</v>
      </c>
      <c r="I93" s="20" t="str">
        <f>IF(ISERROR(SMALL(H90:H93,4)),"-",SMALL(H90:H93,4))</f>
        <v>-</v>
      </c>
      <c r="J93" s="21"/>
      <c r="BA93" s="2">
        <v>1129</v>
      </c>
    </row>
    <row r="94" spans="1:53" ht="15" customHeight="1">
      <c r="A94" s="6"/>
      <c r="B94" s="7"/>
      <c r="C94" s="33"/>
      <c r="D94" s="8">
        <f>IF(ISERROR(VLOOKUP($C94,'START LİSTE'!$B$6:$F$825,2,0)),"",VLOOKUP($C94,'START LİSTE'!$B$6:$F$825,2,0))</f>
      </c>
      <c r="E94" s="9">
        <f>IF(ISERROR(VLOOKUP($C94,'START LİSTE'!$B$6:$F$825,4,0)),"",VLOOKUP($C94,'START LİSTE'!$B$6:$F$825,4,0))</f>
      </c>
      <c r="F94" s="10">
        <f>IF(ISERROR(VLOOKUP($C94,'FERDİ SONUÇ'!$B$6:$H$913,6,0)),"",VLOOKUP($C94,'FERDİ SONUÇ'!$B$6:$H$913,6,0))</f>
      </c>
      <c r="G94" s="9" t="str">
        <f>IF(OR(E94="",F94="DQ",F94="DNF",F94="DNS",F94=""),"-",VLOOKUP(C94,'FERDİ SONUÇ'!$B$6:$H$913,7,0))</f>
        <v>-</v>
      </c>
      <c r="H94" s="9" t="str">
        <f>IF(OR(E94="",E94="F",F94="DQ",F94="DNF",F94="DNS",F94=""),"-",VLOOKUP(C94,'FERDİ SONUÇ'!$B$6:$H$913,7,0))</f>
        <v>-</v>
      </c>
      <c r="I94" s="12" t="str">
        <f>IF(ISERROR(SMALL(H94:H97,1)),"-",SMALL(H94:H97,1))</f>
        <v>-</v>
      </c>
      <c r="J94" s="13"/>
      <c r="BA94" s="2">
        <v>1132</v>
      </c>
    </row>
    <row r="95" spans="1:53" ht="15" customHeight="1">
      <c r="A95" s="14"/>
      <c r="B95" s="15"/>
      <c r="C95" s="34"/>
      <c r="D95" s="16">
        <f>IF(ISERROR(VLOOKUP($C95,'START LİSTE'!$B$6:$F$825,2,0)),"",VLOOKUP($C95,'START LİSTE'!$B$6:$F$825,2,0))</f>
      </c>
      <c r="E95" s="17">
        <f>IF(ISERROR(VLOOKUP($C95,'START LİSTE'!$B$6:$F$825,4,0)),"",VLOOKUP($C95,'START LİSTE'!$B$6:$F$825,4,0))</f>
      </c>
      <c r="F95" s="18">
        <f>IF(ISERROR(VLOOKUP($C95,'FERDİ SONUÇ'!$B$6:$H$913,6,0)),"",VLOOKUP($C95,'FERDİ SONUÇ'!$B$6:$H$913,6,0))</f>
      </c>
      <c r="G95" s="17" t="str">
        <f>IF(OR(E95="",F95="DQ",F95="DNF",F95="DNS",F95=""),"-",VLOOKUP(C95,'FERDİ SONUÇ'!$B$6:$H$913,7,0))</f>
        <v>-</v>
      </c>
      <c r="H95" s="17" t="str">
        <f>IF(OR(E95="",E95="F",F95="DQ",F95="DNF",F95="DNS",F95=""),"-",VLOOKUP(C95,'FERDİ SONUÇ'!$B$6:$H$913,7,0))</f>
        <v>-</v>
      </c>
      <c r="I95" s="20" t="str">
        <f>IF(ISERROR(SMALL(H94:H97,2)),"-",SMALL(H94:H97,2))</f>
        <v>-</v>
      </c>
      <c r="J95" s="21"/>
      <c r="BA95" s="2">
        <v>1133</v>
      </c>
    </row>
    <row r="96" spans="1:53" ht="15" customHeight="1">
      <c r="A96" s="35">
        <f>IF(AND(B96&lt;&gt;"",J96&lt;&gt;"DQ"),COUNT(J$6:J$125)-(RANK(J96,J$6:J$125)+COUNTIF(J$6:J96,J96))+2,IF(C94&lt;&gt;"",BA96,""))</f>
      </c>
      <c r="B96" s="15">
        <f>IF(ISERROR(VLOOKUP(C94,'START LİSTE'!$B$6:$F$825,3,0)),"",VLOOKUP(C94,'START LİSTE'!$B$6:$F$825,3,0))</f>
      </c>
      <c r="C96" s="34"/>
      <c r="D96" s="16">
        <f>IF(ISERROR(VLOOKUP($C96,'START LİSTE'!$B$6:$F$825,2,0)),"",VLOOKUP($C96,'START LİSTE'!$B$6:$F$825,2,0))</f>
      </c>
      <c r="E96" s="17">
        <f>IF(ISERROR(VLOOKUP($C96,'START LİSTE'!$B$6:$F$825,4,0)),"",VLOOKUP($C96,'START LİSTE'!$B$6:$F$825,4,0))</f>
      </c>
      <c r="F96" s="18">
        <f>IF(ISERROR(VLOOKUP($C96,'FERDİ SONUÇ'!$B$6:$H$913,6,0)),"",VLOOKUP($C96,'FERDİ SONUÇ'!$B$6:$H$913,6,0))</f>
      </c>
      <c r="G96" s="17" t="str">
        <f>IF(OR(E96="",F96="DQ",F96="DNF",F96="DNS",F96=""),"-",VLOOKUP(C96,'FERDİ SONUÇ'!$B$6:$H$913,7,0))</f>
        <v>-</v>
      </c>
      <c r="H96" s="17" t="str">
        <f>IF(OR(E96="",E96="F",F96="DQ",F96="DNF",F96="DNS",F96=""),"-",VLOOKUP(C96,'FERDİ SONUÇ'!$B$6:$H$913,7,0))</f>
        <v>-</v>
      </c>
      <c r="I96" s="20" t="str">
        <f>IF(ISERROR(SMALL(H94:H97,3)),"-",SMALL(H94:H97,3))</f>
        <v>-</v>
      </c>
      <c r="J96" s="22">
        <f>IF(C94="","",IF(OR(I94="-",I95="-",I96="-"),"DQ",SUM(I94,I95,I96)))</f>
      </c>
      <c r="BA96" s="2">
        <v>1134</v>
      </c>
    </row>
    <row r="97" spans="1:53" ht="15" customHeight="1">
      <c r="A97" s="14"/>
      <c r="B97" s="15"/>
      <c r="C97" s="34"/>
      <c r="D97" s="16">
        <f>IF(ISERROR(VLOOKUP($C97,'START LİSTE'!$B$6:$F$825,2,0)),"",VLOOKUP($C97,'START LİSTE'!$B$6:$F$825,2,0))</f>
      </c>
      <c r="E97" s="17">
        <f>IF(ISERROR(VLOOKUP($C97,'START LİSTE'!$B$6:$F$825,4,0)),"",VLOOKUP($C97,'START LİSTE'!$B$6:$F$825,4,0))</f>
      </c>
      <c r="F97" s="18">
        <f>IF(ISERROR(VLOOKUP($C97,'FERDİ SONUÇ'!$B$6:$H$913,6,0)),"",VLOOKUP($C97,'FERDİ SONUÇ'!$B$6:$H$913,6,0))</f>
      </c>
      <c r="G97" s="17" t="str">
        <f>IF(OR(E97="",F97="DQ",F97="DNF",F97="DNS",F97=""),"-",VLOOKUP(C97,'FERDİ SONUÇ'!$B$6:$H$913,7,0))</f>
        <v>-</v>
      </c>
      <c r="H97" s="17" t="str">
        <f>IF(OR(E97="",E97="F",F97="DQ",F97="DNF",F97="DNS",F97=""),"-",VLOOKUP(C97,'FERDİ SONUÇ'!$B$6:$H$913,7,0))</f>
        <v>-</v>
      </c>
      <c r="I97" s="20" t="str">
        <f>IF(ISERROR(SMALL(H94:H97,4)),"-",SMALL(H94:H97,4))</f>
        <v>-</v>
      </c>
      <c r="J97" s="21"/>
      <c r="BA97" s="2">
        <v>1135</v>
      </c>
    </row>
    <row r="98" spans="1:53" ht="15" customHeight="1">
      <c r="A98" s="6"/>
      <c r="B98" s="7"/>
      <c r="C98" s="33"/>
      <c r="D98" s="8">
        <f>IF(ISERROR(VLOOKUP($C98,'START LİSTE'!$B$6:$F$825,2,0)),"",VLOOKUP($C98,'START LİSTE'!$B$6:$F$825,2,0))</f>
      </c>
      <c r="E98" s="9">
        <f>IF(ISERROR(VLOOKUP($C98,'START LİSTE'!$B$6:$F$825,4,0)),"",VLOOKUP($C98,'START LİSTE'!$B$6:$F$825,4,0))</f>
      </c>
      <c r="F98" s="10">
        <f>IF(ISERROR(VLOOKUP($C98,'FERDİ SONUÇ'!$B$6:$H$913,6,0)),"",VLOOKUP($C98,'FERDİ SONUÇ'!$B$6:$H$913,6,0))</f>
      </c>
      <c r="G98" s="9" t="str">
        <f>IF(OR(E98="",F98="DQ",F98="DNF",F98="DNS",F98=""),"-",VLOOKUP(C98,'FERDİ SONUÇ'!$B$6:$H$913,7,0))</f>
        <v>-</v>
      </c>
      <c r="H98" s="9" t="str">
        <f>IF(OR(E98="",E98="F",F98="DQ",F98="DNF",F98="DNS",F98=""),"-",VLOOKUP(C98,'FERDİ SONUÇ'!$B$6:$H$913,7,0))</f>
        <v>-</v>
      </c>
      <c r="I98" s="12" t="str">
        <f>IF(ISERROR(SMALL(H98:H101,1)),"-",SMALL(H98:H101,1))</f>
        <v>-</v>
      </c>
      <c r="J98" s="13"/>
      <c r="BA98" s="2">
        <v>1138</v>
      </c>
    </row>
    <row r="99" spans="1:53" ht="15" customHeight="1">
      <c r="A99" s="14"/>
      <c r="B99" s="15"/>
      <c r="C99" s="34"/>
      <c r="D99" s="16">
        <f>IF(ISERROR(VLOOKUP($C99,'START LİSTE'!$B$6:$F$825,2,0)),"",VLOOKUP($C99,'START LİSTE'!$B$6:$F$825,2,0))</f>
      </c>
      <c r="E99" s="17">
        <f>IF(ISERROR(VLOOKUP($C99,'START LİSTE'!$B$6:$F$825,4,0)),"",VLOOKUP($C99,'START LİSTE'!$B$6:$F$825,4,0))</f>
      </c>
      <c r="F99" s="18">
        <f>IF(ISERROR(VLOOKUP($C99,'FERDİ SONUÇ'!$B$6:$H$913,6,0)),"",VLOOKUP($C99,'FERDİ SONUÇ'!$B$6:$H$913,6,0))</f>
      </c>
      <c r="G99" s="17" t="str">
        <f>IF(OR(E99="",F99="DQ",F99="DNF",F99="DNS",F99=""),"-",VLOOKUP(C99,'FERDİ SONUÇ'!$B$6:$H$913,7,0))</f>
        <v>-</v>
      </c>
      <c r="H99" s="17" t="str">
        <f>IF(OR(E99="",E99="F",F99="DQ",F99="DNF",F99="DNS",F99=""),"-",VLOOKUP(C99,'FERDİ SONUÇ'!$B$6:$H$913,7,0))</f>
        <v>-</v>
      </c>
      <c r="I99" s="20" t="str">
        <f>IF(ISERROR(SMALL(H98:H101,2)),"-",SMALL(H98:H101,2))</f>
        <v>-</v>
      </c>
      <c r="J99" s="21"/>
      <c r="BA99" s="2">
        <v>1139</v>
      </c>
    </row>
    <row r="100" spans="1:53" ht="15" customHeight="1">
      <c r="A100" s="35">
        <f>IF(AND(B100&lt;&gt;"",J100&lt;&gt;"DQ"),COUNT(J$6:J$125)-(RANK(J100,J$6:J$125)+COUNTIF(J$6:J100,J100))+2,IF(C98&lt;&gt;"",BA100,""))</f>
      </c>
      <c r="B100" s="15">
        <f>IF(ISERROR(VLOOKUP(C98,'START LİSTE'!$B$6:$F$825,3,0)),"",VLOOKUP(C98,'START LİSTE'!$B$6:$F$825,3,0))</f>
      </c>
      <c r="C100" s="34"/>
      <c r="D100" s="16">
        <f>IF(ISERROR(VLOOKUP($C100,'START LİSTE'!$B$6:$F$825,2,0)),"",VLOOKUP($C100,'START LİSTE'!$B$6:$F$825,2,0))</f>
      </c>
      <c r="E100" s="17">
        <f>IF(ISERROR(VLOOKUP($C100,'START LİSTE'!$B$6:$F$825,4,0)),"",VLOOKUP($C100,'START LİSTE'!$B$6:$F$825,4,0))</f>
      </c>
      <c r="F100" s="18">
        <f>IF(ISERROR(VLOOKUP($C100,'FERDİ SONUÇ'!$B$6:$H$913,6,0)),"",VLOOKUP($C100,'FERDİ SONUÇ'!$B$6:$H$913,6,0))</f>
      </c>
      <c r="G100" s="17" t="str">
        <f>IF(OR(E100="",F100="DQ",F100="DNF",F100="DNS",F100=""),"-",VLOOKUP(C100,'FERDİ SONUÇ'!$B$6:$H$913,7,0))</f>
        <v>-</v>
      </c>
      <c r="H100" s="17" t="str">
        <f>IF(OR(E100="",E100="F",F100="DQ",F100="DNF",F100="DNS",F100=""),"-",VLOOKUP(C100,'FERDİ SONUÇ'!$B$6:$H$913,7,0))</f>
        <v>-</v>
      </c>
      <c r="I100" s="20" t="str">
        <f>IF(ISERROR(SMALL(H98:H101,3)),"-",SMALL(H98:H101,3))</f>
        <v>-</v>
      </c>
      <c r="J100" s="22">
        <f>IF(C98="","",IF(OR(I98="-",I99="-",I100="-"),"DQ",SUM(I98,I99,I100)))</f>
      </c>
      <c r="BA100" s="2">
        <v>1140</v>
      </c>
    </row>
    <row r="101" spans="1:53" ht="15" customHeight="1">
      <c r="A101" s="14"/>
      <c r="B101" s="15"/>
      <c r="C101" s="34"/>
      <c r="D101" s="16">
        <f>IF(ISERROR(VLOOKUP($C101,'START LİSTE'!$B$6:$F$825,2,0)),"",VLOOKUP($C101,'START LİSTE'!$B$6:$F$825,2,0))</f>
      </c>
      <c r="E101" s="17">
        <f>IF(ISERROR(VLOOKUP($C101,'START LİSTE'!$B$6:$F$825,4,0)),"",VLOOKUP($C101,'START LİSTE'!$B$6:$F$825,4,0))</f>
      </c>
      <c r="F101" s="18">
        <f>IF(ISERROR(VLOOKUP($C101,'FERDİ SONUÇ'!$B$6:$H$913,6,0)),"",VLOOKUP($C101,'FERDİ SONUÇ'!$B$6:$H$913,6,0))</f>
      </c>
      <c r="G101" s="17" t="str">
        <f>IF(OR(E101="",F101="DQ",F101="DNF",F101="DNS",F101=""),"-",VLOOKUP(C101,'FERDİ SONUÇ'!$B$6:$H$913,7,0))</f>
        <v>-</v>
      </c>
      <c r="H101" s="17" t="str">
        <f>IF(OR(E101="",E101="F",F101="DQ",F101="DNF",F101="DNS",F101=""),"-",VLOOKUP(C101,'FERDİ SONUÇ'!$B$6:$H$913,7,0))</f>
        <v>-</v>
      </c>
      <c r="I101" s="20" t="str">
        <f>IF(ISERROR(SMALL(H98:H101,4)),"-",SMALL(H98:H101,4))</f>
        <v>-</v>
      </c>
      <c r="J101" s="21"/>
      <c r="BA101" s="2">
        <v>1141</v>
      </c>
    </row>
    <row r="102" spans="1:53" ht="15" customHeight="1">
      <c r="A102" s="6"/>
      <c r="B102" s="7"/>
      <c r="C102" s="33"/>
      <c r="D102" s="8">
        <f>IF(ISERROR(VLOOKUP($C102,'START LİSTE'!$B$6:$F$825,2,0)),"",VLOOKUP($C102,'START LİSTE'!$B$6:$F$825,2,0))</f>
      </c>
      <c r="E102" s="9">
        <f>IF(ISERROR(VLOOKUP($C102,'START LİSTE'!$B$6:$F$825,4,0)),"",VLOOKUP($C102,'START LİSTE'!$B$6:$F$825,4,0))</f>
      </c>
      <c r="F102" s="10">
        <f>IF(ISERROR(VLOOKUP($C102,'FERDİ SONUÇ'!$B$6:$H$913,6,0)),"",VLOOKUP($C102,'FERDİ SONUÇ'!$B$6:$H$913,6,0))</f>
      </c>
      <c r="G102" s="9" t="str">
        <f>IF(OR(E102="",F102="DQ",F102="DNF",F102="DNS",F102=""),"-",VLOOKUP(C102,'FERDİ SONUÇ'!$B$6:$H$913,7,0))</f>
        <v>-</v>
      </c>
      <c r="H102" s="9" t="str">
        <f>IF(OR(E102="",E102="F",F102="DQ",F102="DNF",F102="DNS",F102=""),"-",VLOOKUP(C102,'FERDİ SONUÇ'!$B$6:$H$913,7,0))</f>
        <v>-</v>
      </c>
      <c r="I102" s="12" t="str">
        <f>IF(ISERROR(SMALL(H102:H105,1)),"-",SMALL(H102:H105,1))</f>
        <v>-</v>
      </c>
      <c r="J102" s="13"/>
      <c r="BA102" s="2">
        <v>1144</v>
      </c>
    </row>
    <row r="103" spans="1:53" ht="15" customHeight="1">
      <c r="A103" s="14"/>
      <c r="B103" s="15"/>
      <c r="C103" s="34"/>
      <c r="D103" s="16">
        <f>IF(ISERROR(VLOOKUP($C103,'START LİSTE'!$B$6:$F$825,2,0)),"",VLOOKUP($C103,'START LİSTE'!$B$6:$F$825,2,0))</f>
      </c>
      <c r="E103" s="17">
        <f>IF(ISERROR(VLOOKUP($C103,'START LİSTE'!$B$6:$F$825,4,0)),"",VLOOKUP($C103,'START LİSTE'!$B$6:$F$825,4,0))</f>
      </c>
      <c r="F103" s="18">
        <f>IF(ISERROR(VLOOKUP($C103,'FERDİ SONUÇ'!$B$6:$H$913,6,0)),"",VLOOKUP($C103,'FERDİ SONUÇ'!$B$6:$H$913,6,0))</f>
      </c>
      <c r="G103" s="17" t="str">
        <f>IF(OR(E103="",F103="DQ",F103="DNF",F103="DNS",F103=""),"-",VLOOKUP(C103,'FERDİ SONUÇ'!$B$6:$H$913,7,0))</f>
        <v>-</v>
      </c>
      <c r="H103" s="17" t="str">
        <f>IF(OR(E103="",E103="F",F103="DQ",F103="DNF",F103="DNS",F103=""),"-",VLOOKUP(C103,'FERDİ SONUÇ'!$B$6:$H$913,7,0))</f>
        <v>-</v>
      </c>
      <c r="I103" s="20" t="str">
        <f>IF(ISERROR(SMALL(H102:H105,2)),"-",SMALL(H102:H105,2))</f>
        <v>-</v>
      </c>
      <c r="J103" s="21"/>
      <c r="BA103" s="2">
        <v>1145</v>
      </c>
    </row>
    <row r="104" spans="1:53" ht="15" customHeight="1">
      <c r="A104" s="35">
        <f>IF(AND(B104&lt;&gt;"",J104&lt;&gt;"DQ"),COUNT(J$6:J$125)-(RANK(J104,J$6:J$125)+COUNTIF(J$6:J104,J104))+2,IF(C102&lt;&gt;"",BA104,""))</f>
      </c>
      <c r="B104" s="15">
        <f>IF(ISERROR(VLOOKUP(C102,'START LİSTE'!$B$6:$F$825,3,0)),"",VLOOKUP(C102,'START LİSTE'!$B$6:$F$825,3,0))</f>
      </c>
      <c r="C104" s="34"/>
      <c r="D104" s="16">
        <f>IF(ISERROR(VLOOKUP($C104,'START LİSTE'!$B$6:$F$825,2,0)),"",VLOOKUP($C104,'START LİSTE'!$B$6:$F$825,2,0))</f>
      </c>
      <c r="E104" s="17">
        <f>IF(ISERROR(VLOOKUP($C104,'START LİSTE'!$B$6:$F$825,4,0)),"",VLOOKUP($C104,'START LİSTE'!$B$6:$F$825,4,0))</f>
      </c>
      <c r="F104" s="18">
        <f>IF(ISERROR(VLOOKUP($C104,'FERDİ SONUÇ'!$B$6:$H$913,6,0)),"",VLOOKUP($C104,'FERDİ SONUÇ'!$B$6:$H$913,6,0))</f>
      </c>
      <c r="G104" s="17" t="str">
        <f>IF(OR(E104="",F104="DQ",F104="DNF",F104="DNS",F104=""),"-",VLOOKUP(C104,'FERDİ SONUÇ'!$B$6:$H$913,7,0))</f>
        <v>-</v>
      </c>
      <c r="H104" s="17" t="str">
        <f>IF(OR(E104="",E104="F",F104="DQ",F104="DNF",F104="DNS",F104=""),"-",VLOOKUP(C104,'FERDİ SONUÇ'!$B$6:$H$913,7,0))</f>
        <v>-</v>
      </c>
      <c r="I104" s="20" t="str">
        <f>IF(ISERROR(SMALL(H102:H105,3)),"-",SMALL(H102:H105,3))</f>
        <v>-</v>
      </c>
      <c r="J104" s="22">
        <f>IF(C102="","",IF(OR(I102="-",I103="-",I104="-"),"DQ",SUM(I102,I103,I104)))</f>
      </c>
      <c r="BA104" s="2">
        <v>1146</v>
      </c>
    </row>
    <row r="105" spans="1:53" ht="15" customHeight="1">
      <c r="A105" s="14"/>
      <c r="B105" s="15"/>
      <c r="C105" s="34"/>
      <c r="D105" s="16">
        <f>IF(ISERROR(VLOOKUP($C105,'START LİSTE'!$B$6:$F$825,2,0)),"",VLOOKUP($C105,'START LİSTE'!$B$6:$F$825,2,0))</f>
      </c>
      <c r="E105" s="17">
        <f>IF(ISERROR(VLOOKUP($C105,'START LİSTE'!$B$6:$F$825,4,0)),"",VLOOKUP($C105,'START LİSTE'!$B$6:$F$825,4,0))</f>
      </c>
      <c r="F105" s="18">
        <f>IF(ISERROR(VLOOKUP($C105,'FERDİ SONUÇ'!$B$6:$H$913,6,0)),"",VLOOKUP($C105,'FERDİ SONUÇ'!$B$6:$H$913,6,0))</f>
      </c>
      <c r="G105" s="17" t="str">
        <f>IF(OR(E105="",F105="DQ",F105="DNF",F105="DNS",F105=""),"-",VLOOKUP(C105,'FERDİ SONUÇ'!$B$6:$H$913,7,0))</f>
        <v>-</v>
      </c>
      <c r="H105" s="17" t="str">
        <f>IF(OR(E105="",E105="F",F105="DQ",F105="DNF",F105="DNS",F105=""),"-",VLOOKUP(C105,'FERDİ SONUÇ'!$B$6:$H$913,7,0))</f>
        <v>-</v>
      </c>
      <c r="I105" s="20" t="str">
        <f>IF(ISERROR(SMALL(H102:H105,4)),"-",SMALL(H102:H105,4))</f>
        <v>-</v>
      </c>
      <c r="J105" s="21"/>
      <c r="BA105" s="2">
        <v>1147</v>
      </c>
    </row>
    <row r="106" spans="1:53" ht="15" customHeight="1">
      <c r="A106" s="6"/>
      <c r="B106" s="7"/>
      <c r="C106" s="33"/>
      <c r="D106" s="8">
        <f>IF(ISERROR(VLOOKUP($C106,'START LİSTE'!$B$6:$F$825,2,0)),"",VLOOKUP($C106,'START LİSTE'!$B$6:$F$825,2,0))</f>
      </c>
      <c r="E106" s="9">
        <f>IF(ISERROR(VLOOKUP($C106,'START LİSTE'!$B$6:$F$825,4,0)),"",VLOOKUP($C106,'START LİSTE'!$B$6:$F$825,4,0))</f>
      </c>
      <c r="F106" s="10">
        <f>IF(ISERROR(VLOOKUP($C106,'FERDİ SONUÇ'!$B$6:$H$913,6,0)),"",VLOOKUP($C106,'FERDİ SONUÇ'!$B$6:$H$913,6,0))</f>
      </c>
      <c r="G106" s="9" t="str">
        <f>IF(OR(E106="",F106="DQ",F106="DNF",F106="DNS",F106=""),"-",VLOOKUP(C106,'FERDİ SONUÇ'!$B$6:$H$913,7,0))</f>
        <v>-</v>
      </c>
      <c r="H106" s="9" t="str">
        <f>IF(OR(E106="",E106="F",F106="DQ",F106="DNF",F106="DNS",F106=""),"-",VLOOKUP(C106,'FERDİ SONUÇ'!$B$6:$H$913,7,0))</f>
        <v>-</v>
      </c>
      <c r="I106" s="12" t="str">
        <f>IF(ISERROR(SMALL(H106:H109,1)),"-",SMALL(H106:H109,1))</f>
        <v>-</v>
      </c>
      <c r="J106" s="13"/>
      <c r="BA106" s="2">
        <v>1150</v>
      </c>
    </row>
    <row r="107" spans="1:53" ht="15" customHeight="1">
      <c r="A107" s="14"/>
      <c r="B107" s="15"/>
      <c r="C107" s="34"/>
      <c r="D107" s="16">
        <f>IF(ISERROR(VLOOKUP($C107,'START LİSTE'!$B$6:$F$825,2,0)),"",VLOOKUP($C107,'START LİSTE'!$B$6:$F$825,2,0))</f>
      </c>
      <c r="E107" s="17">
        <f>IF(ISERROR(VLOOKUP($C107,'START LİSTE'!$B$6:$F$825,4,0)),"",VLOOKUP($C107,'START LİSTE'!$B$6:$F$825,4,0))</f>
      </c>
      <c r="F107" s="18">
        <f>IF(ISERROR(VLOOKUP($C107,'FERDİ SONUÇ'!$B$6:$H$913,6,0)),"",VLOOKUP($C107,'FERDİ SONUÇ'!$B$6:$H$913,6,0))</f>
      </c>
      <c r="G107" s="17" t="str">
        <f>IF(OR(E107="",F107="DQ",F107="DNF",F107="DNS",F107=""),"-",VLOOKUP(C107,'FERDİ SONUÇ'!$B$6:$H$913,7,0))</f>
        <v>-</v>
      </c>
      <c r="H107" s="17" t="str">
        <f>IF(OR(E107="",E107="F",F107="DQ",F107="DNF",F107="DNS",F107=""),"-",VLOOKUP(C107,'FERDİ SONUÇ'!$B$6:$H$913,7,0))</f>
        <v>-</v>
      </c>
      <c r="I107" s="20" t="str">
        <f>IF(ISERROR(SMALL(H106:H109,2)),"-",SMALL(H106:H109,2))</f>
        <v>-</v>
      </c>
      <c r="J107" s="21"/>
      <c r="BA107" s="2">
        <v>1151</v>
      </c>
    </row>
    <row r="108" spans="1:53" ht="15" customHeight="1">
      <c r="A108" s="35">
        <f>IF(AND(B108&lt;&gt;"",J108&lt;&gt;"DQ"),COUNT(J$6:J$125)-(RANK(J108,J$6:J$125)+COUNTIF(J$6:J108,J108))+2,IF(C106&lt;&gt;"",BA108,""))</f>
      </c>
      <c r="B108" s="15">
        <f>IF(ISERROR(VLOOKUP(C106,'START LİSTE'!$B$6:$F$825,3,0)),"",VLOOKUP(C106,'START LİSTE'!$B$6:$F$825,3,0))</f>
      </c>
      <c r="C108" s="34"/>
      <c r="D108" s="16">
        <f>IF(ISERROR(VLOOKUP($C108,'START LİSTE'!$B$6:$F$825,2,0)),"",VLOOKUP($C108,'START LİSTE'!$B$6:$F$825,2,0))</f>
      </c>
      <c r="E108" s="17">
        <f>IF(ISERROR(VLOOKUP($C108,'START LİSTE'!$B$6:$F$825,4,0)),"",VLOOKUP($C108,'START LİSTE'!$B$6:$F$825,4,0))</f>
      </c>
      <c r="F108" s="18">
        <f>IF(ISERROR(VLOOKUP($C108,'FERDİ SONUÇ'!$B$6:$H$913,6,0)),"",VLOOKUP($C108,'FERDİ SONUÇ'!$B$6:$H$913,6,0))</f>
      </c>
      <c r="G108" s="17" t="str">
        <f>IF(OR(E108="",F108="DQ",F108="DNF",F108="DNS",F108=""),"-",VLOOKUP(C108,'FERDİ SONUÇ'!$B$6:$H$913,7,0))</f>
        <v>-</v>
      </c>
      <c r="H108" s="17" t="str">
        <f>IF(OR(E108="",E108="F",F108="DQ",F108="DNF",F108="DNS",F108=""),"-",VLOOKUP(C108,'FERDİ SONUÇ'!$B$6:$H$913,7,0))</f>
        <v>-</v>
      </c>
      <c r="I108" s="20" t="str">
        <f>IF(ISERROR(SMALL(H106:H109,3)),"-",SMALL(H106:H109,3))</f>
        <v>-</v>
      </c>
      <c r="J108" s="22">
        <f>IF(C106="","",IF(OR(I106="-",I107="-",I108="-"),"DQ",SUM(I106,I107,I108)))</f>
      </c>
      <c r="BA108" s="2">
        <v>1152</v>
      </c>
    </row>
    <row r="109" spans="1:53" ht="15" customHeight="1">
      <c r="A109" s="14"/>
      <c r="B109" s="15"/>
      <c r="C109" s="34"/>
      <c r="D109" s="16">
        <f>IF(ISERROR(VLOOKUP($C109,'START LİSTE'!$B$6:$F$825,2,0)),"",VLOOKUP($C109,'START LİSTE'!$B$6:$F$825,2,0))</f>
      </c>
      <c r="E109" s="17">
        <f>IF(ISERROR(VLOOKUP($C109,'START LİSTE'!$B$6:$F$825,4,0)),"",VLOOKUP($C109,'START LİSTE'!$B$6:$F$825,4,0))</f>
      </c>
      <c r="F109" s="18">
        <f>IF(ISERROR(VLOOKUP($C109,'FERDİ SONUÇ'!$B$6:$H$913,6,0)),"",VLOOKUP($C109,'FERDİ SONUÇ'!$B$6:$H$913,6,0))</f>
      </c>
      <c r="G109" s="17" t="str">
        <f>IF(OR(E109="",F109="DQ",F109="DNF",F109="DNS",F109=""),"-",VLOOKUP(C109,'FERDİ SONUÇ'!$B$6:$H$913,7,0))</f>
        <v>-</v>
      </c>
      <c r="H109" s="17" t="str">
        <f>IF(OR(E109="",E109="F",F109="DQ",F109="DNF",F109="DNS",F109=""),"-",VLOOKUP(C109,'FERDİ SONUÇ'!$B$6:$H$913,7,0))</f>
        <v>-</v>
      </c>
      <c r="I109" s="20" t="str">
        <f>IF(ISERROR(SMALL(H106:H109,4)),"-",SMALL(H106:H109,4))</f>
        <v>-</v>
      </c>
      <c r="J109" s="21"/>
      <c r="BA109" s="2">
        <v>1153</v>
      </c>
    </row>
    <row r="110" spans="1:53" ht="15" customHeight="1">
      <c r="A110" s="6"/>
      <c r="B110" s="7"/>
      <c r="C110" s="33"/>
      <c r="D110" s="8">
        <f>IF(ISERROR(VLOOKUP($C110,'START LİSTE'!$B$6:$F$825,2,0)),"",VLOOKUP($C110,'START LİSTE'!$B$6:$F$825,2,0))</f>
      </c>
      <c r="E110" s="9">
        <f>IF(ISERROR(VLOOKUP($C110,'START LİSTE'!$B$6:$F$825,4,0)),"",VLOOKUP($C110,'START LİSTE'!$B$6:$F$825,4,0))</f>
      </c>
      <c r="F110" s="10">
        <f>IF(ISERROR(VLOOKUP($C110,'FERDİ SONUÇ'!$B$6:$H$913,6,0)),"",VLOOKUP($C110,'FERDİ SONUÇ'!$B$6:$H$913,6,0))</f>
      </c>
      <c r="G110" s="9" t="str">
        <f>IF(OR(E110="",F110="DQ",F110="DNF",F110="DNS",F110=""),"-",VLOOKUP(C110,'FERDİ SONUÇ'!$B$6:$H$913,7,0))</f>
        <v>-</v>
      </c>
      <c r="H110" s="9" t="str">
        <f>IF(OR(E110="",E110="F",F110="DQ",F110="DNF",F110="DNS",F110=""),"-",VLOOKUP(C110,'FERDİ SONUÇ'!$B$6:$H$913,7,0))</f>
        <v>-</v>
      </c>
      <c r="I110" s="12" t="str">
        <f>IF(ISERROR(SMALL(H110:H113,1)),"-",SMALL(H110:H113,1))</f>
        <v>-</v>
      </c>
      <c r="J110" s="13"/>
      <c r="BA110" s="2">
        <v>1156</v>
      </c>
    </row>
    <row r="111" spans="1:53" ht="15" customHeight="1">
      <c r="A111" s="14"/>
      <c r="B111" s="15"/>
      <c r="C111" s="34"/>
      <c r="D111" s="16">
        <f>IF(ISERROR(VLOOKUP($C111,'START LİSTE'!$B$6:$F$825,2,0)),"",VLOOKUP($C111,'START LİSTE'!$B$6:$F$825,2,0))</f>
      </c>
      <c r="E111" s="17">
        <f>IF(ISERROR(VLOOKUP($C111,'START LİSTE'!$B$6:$F$825,4,0)),"",VLOOKUP($C111,'START LİSTE'!$B$6:$F$825,4,0))</f>
      </c>
      <c r="F111" s="18">
        <f>IF(ISERROR(VLOOKUP($C111,'FERDİ SONUÇ'!$B$6:$H$913,6,0)),"",VLOOKUP($C111,'FERDİ SONUÇ'!$B$6:$H$913,6,0))</f>
      </c>
      <c r="G111" s="17" t="str">
        <f>IF(OR(E111="",F111="DQ",F111="DNF",F111="DNS",F111=""),"-",VLOOKUP(C111,'FERDİ SONUÇ'!$B$6:$H$913,7,0))</f>
        <v>-</v>
      </c>
      <c r="H111" s="17" t="str">
        <f>IF(OR(E111="",E111="F",F111="DQ",F111="DNF",F111="DNS",F111=""),"-",VLOOKUP(C111,'FERDİ SONUÇ'!$B$6:$H$913,7,0))</f>
        <v>-</v>
      </c>
      <c r="I111" s="20" t="str">
        <f>IF(ISERROR(SMALL(H110:H113,2)),"-",SMALL(H110:H113,2))</f>
        <v>-</v>
      </c>
      <c r="J111" s="21"/>
      <c r="BA111" s="2">
        <v>1157</v>
      </c>
    </row>
    <row r="112" spans="1:53" ht="15" customHeight="1">
      <c r="A112" s="35">
        <f>IF(AND(B112&lt;&gt;"",J112&lt;&gt;"DQ"),COUNT(J$6:J$125)-(RANK(J112,J$6:J$125)+COUNTIF(J$6:J112,J112))+2,IF(C110&lt;&gt;"",BA112,""))</f>
      </c>
      <c r="B112" s="15">
        <f>IF(ISERROR(VLOOKUP(C110,'START LİSTE'!$B$6:$F$825,3,0)),"",VLOOKUP(C110,'START LİSTE'!$B$6:$F$825,3,0))</f>
      </c>
      <c r="C112" s="34"/>
      <c r="D112" s="16">
        <f>IF(ISERROR(VLOOKUP($C112,'START LİSTE'!$B$6:$F$825,2,0)),"",VLOOKUP($C112,'START LİSTE'!$B$6:$F$825,2,0))</f>
      </c>
      <c r="E112" s="17">
        <f>IF(ISERROR(VLOOKUP($C112,'START LİSTE'!$B$6:$F$825,4,0)),"",VLOOKUP($C112,'START LİSTE'!$B$6:$F$825,4,0))</f>
      </c>
      <c r="F112" s="18">
        <f>IF(ISERROR(VLOOKUP($C112,'FERDİ SONUÇ'!$B$6:$H$913,6,0)),"",VLOOKUP($C112,'FERDİ SONUÇ'!$B$6:$H$913,6,0))</f>
      </c>
      <c r="G112" s="17" t="str">
        <f>IF(OR(E112="",F112="DQ",F112="DNF",F112="DNS",F112=""),"-",VLOOKUP(C112,'FERDİ SONUÇ'!$B$6:$H$913,7,0))</f>
        <v>-</v>
      </c>
      <c r="H112" s="17" t="str">
        <f>IF(OR(E112="",E112="F",F112="DQ",F112="DNF",F112="DNS",F112=""),"-",VLOOKUP(C112,'FERDİ SONUÇ'!$B$6:$H$913,7,0))</f>
        <v>-</v>
      </c>
      <c r="I112" s="20" t="str">
        <f>IF(ISERROR(SMALL(H110:H113,3)),"-",SMALL(H110:H113,3))</f>
        <v>-</v>
      </c>
      <c r="J112" s="22">
        <f>IF(C110="","",IF(OR(I110="-",I111="-",I112="-"),"DQ",SUM(I110,I111,I112)))</f>
      </c>
      <c r="BA112" s="2">
        <v>1158</v>
      </c>
    </row>
    <row r="113" spans="1:53" ht="15" customHeight="1">
      <c r="A113" s="14"/>
      <c r="B113" s="15"/>
      <c r="C113" s="34"/>
      <c r="D113" s="16">
        <f>IF(ISERROR(VLOOKUP($C113,'START LİSTE'!$B$6:$F$825,2,0)),"",VLOOKUP($C113,'START LİSTE'!$B$6:$F$825,2,0))</f>
      </c>
      <c r="E113" s="17">
        <f>IF(ISERROR(VLOOKUP($C113,'START LİSTE'!$B$6:$F$825,4,0)),"",VLOOKUP($C113,'START LİSTE'!$B$6:$F$825,4,0))</f>
      </c>
      <c r="F113" s="18">
        <f>IF(ISERROR(VLOOKUP($C113,'FERDİ SONUÇ'!$B$6:$H$913,6,0)),"",VLOOKUP($C113,'FERDİ SONUÇ'!$B$6:$H$913,6,0))</f>
      </c>
      <c r="G113" s="17" t="str">
        <f>IF(OR(E113="",F113="DQ",F113="DNF",F113="DNS",F113=""),"-",VLOOKUP(C113,'FERDİ SONUÇ'!$B$6:$H$913,7,0))</f>
        <v>-</v>
      </c>
      <c r="H113" s="17" t="str">
        <f>IF(OR(E113="",E113="F",F113="DQ",F113="DNF",F113="DNS",F113=""),"-",VLOOKUP(C113,'FERDİ SONUÇ'!$B$6:$H$913,7,0))</f>
        <v>-</v>
      </c>
      <c r="I113" s="20" t="str">
        <f>IF(ISERROR(SMALL(H110:H113,4)),"-",SMALL(H110:H113,4))</f>
        <v>-</v>
      </c>
      <c r="J113" s="21"/>
      <c r="BA113" s="2">
        <v>1159</v>
      </c>
    </row>
    <row r="114" spans="1:53" ht="15" customHeight="1">
      <c r="A114" s="6"/>
      <c r="B114" s="7"/>
      <c r="C114" s="33"/>
      <c r="D114" s="8">
        <f>IF(ISERROR(VLOOKUP($C114,'START LİSTE'!$B$6:$F$825,2,0)),"",VLOOKUP($C114,'START LİSTE'!$B$6:$F$825,2,0))</f>
      </c>
      <c r="E114" s="9">
        <f>IF(ISERROR(VLOOKUP($C114,'START LİSTE'!$B$6:$F$825,4,0)),"",VLOOKUP($C114,'START LİSTE'!$B$6:$F$825,4,0))</f>
      </c>
      <c r="F114" s="10">
        <f>IF(ISERROR(VLOOKUP($C114,'FERDİ SONUÇ'!$B$6:$H$913,6,0)),"",VLOOKUP($C114,'FERDİ SONUÇ'!$B$6:$H$913,6,0))</f>
      </c>
      <c r="G114" s="9" t="str">
        <f>IF(OR(E114="",F114="DQ",F114="DNF",F114="DNS",F114=""),"-",VLOOKUP(C114,'FERDİ SONUÇ'!$B$6:$H$913,7,0))</f>
        <v>-</v>
      </c>
      <c r="H114" s="9" t="str">
        <f>IF(OR(E114="",E114="F",F114="DQ",F114="DNF",F114="DNS",F114=""),"-",VLOOKUP(C114,'FERDİ SONUÇ'!$B$6:$H$913,7,0))</f>
        <v>-</v>
      </c>
      <c r="I114" s="12" t="str">
        <f>IF(ISERROR(SMALL(H114:H117,1)),"-",SMALL(H114:H117,1))</f>
        <v>-</v>
      </c>
      <c r="J114" s="13"/>
      <c r="BA114" s="2">
        <v>1162</v>
      </c>
    </row>
    <row r="115" spans="1:53" ht="15" customHeight="1">
      <c r="A115" s="14"/>
      <c r="B115" s="15"/>
      <c r="C115" s="34"/>
      <c r="D115" s="16">
        <f>IF(ISERROR(VLOOKUP($C115,'START LİSTE'!$B$6:$F$825,2,0)),"",VLOOKUP($C115,'START LİSTE'!$B$6:$F$825,2,0))</f>
      </c>
      <c r="E115" s="17">
        <f>IF(ISERROR(VLOOKUP($C115,'START LİSTE'!$B$6:$F$825,4,0)),"",VLOOKUP($C115,'START LİSTE'!$B$6:$F$825,4,0))</f>
      </c>
      <c r="F115" s="18">
        <f>IF(ISERROR(VLOOKUP($C115,'FERDİ SONUÇ'!$B$6:$H$913,6,0)),"",VLOOKUP($C115,'FERDİ SONUÇ'!$B$6:$H$913,6,0))</f>
      </c>
      <c r="G115" s="17" t="str">
        <f>IF(OR(E115="",F115="DQ",F115="DNF",F115="DNS",F115=""),"-",VLOOKUP(C115,'FERDİ SONUÇ'!$B$6:$H$913,7,0))</f>
        <v>-</v>
      </c>
      <c r="H115" s="17" t="str">
        <f>IF(OR(E115="",E115="F",F115="DQ",F115="DNF",F115="DNS",F115=""),"-",VLOOKUP(C115,'FERDİ SONUÇ'!$B$6:$H$913,7,0))</f>
        <v>-</v>
      </c>
      <c r="I115" s="20" t="str">
        <f>IF(ISERROR(SMALL(H114:H117,2)),"-",SMALL(H114:H117,2))</f>
        <v>-</v>
      </c>
      <c r="J115" s="21"/>
      <c r="BA115" s="2">
        <v>1163</v>
      </c>
    </row>
    <row r="116" spans="1:53" ht="15" customHeight="1">
      <c r="A116" s="35">
        <f>IF(AND(B116&lt;&gt;"",J116&lt;&gt;"DQ"),COUNT(J$6:J$125)-(RANK(J116,J$6:J$125)+COUNTIF(J$6:J116,J116))+2,IF(C114&lt;&gt;"",BA116,""))</f>
      </c>
      <c r="B116" s="15">
        <f>IF(ISERROR(VLOOKUP(C114,'START LİSTE'!$B$6:$F$825,3,0)),"",VLOOKUP(C114,'START LİSTE'!$B$6:$F$825,3,0))</f>
      </c>
      <c r="C116" s="34"/>
      <c r="D116" s="16">
        <f>IF(ISERROR(VLOOKUP($C116,'START LİSTE'!$B$6:$F$825,2,0)),"",VLOOKUP($C116,'START LİSTE'!$B$6:$F$825,2,0))</f>
      </c>
      <c r="E116" s="17">
        <f>IF(ISERROR(VLOOKUP($C116,'START LİSTE'!$B$6:$F$825,4,0)),"",VLOOKUP($C116,'START LİSTE'!$B$6:$F$825,4,0))</f>
      </c>
      <c r="F116" s="18">
        <f>IF(ISERROR(VLOOKUP($C116,'FERDİ SONUÇ'!$B$6:$H$913,6,0)),"",VLOOKUP($C116,'FERDİ SONUÇ'!$B$6:$H$913,6,0))</f>
      </c>
      <c r="G116" s="17" t="str">
        <f>IF(OR(E116="",F116="DQ",F116="DNF",F116="DNS",F116=""),"-",VLOOKUP(C116,'FERDİ SONUÇ'!$B$6:$H$913,7,0))</f>
        <v>-</v>
      </c>
      <c r="H116" s="17" t="str">
        <f>IF(OR(E116="",E116="F",F116="DQ",F116="DNF",F116="DNS",F116=""),"-",VLOOKUP(C116,'FERDİ SONUÇ'!$B$6:$H$913,7,0))</f>
        <v>-</v>
      </c>
      <c r="I116" s="20" t="str">
        <f>IF(ISERROR(SMALL(H114:H117,3)),"-",SMALL(H114:H117,3))</f>
        <v>-</v>
      </c>
      <c r="J116" s="22">
        <f>IF(C114="","",IF(OR(I114="-",I115="-",I116="-"),"DQ",SUM(I114,I115,I116)))</f>
      </c>
      <c r="BA116" s="2">
        <v>1164</v>
      </c>
    </row>
    <row r="117" spans="1:53" ht="15" customHeight="1">
      <c r="A117" s="14"/>
      <c r="B117" s="15"/>
      <c r="C117" s="34"/>
      <c r="D117" s="16">
        <f>IF(ISERROR(VLOOKUP($C117,'START LİSTE'!$B$6:$F$825,2,0)),"",VLOOKUP($C117,'START LİSTE'!$B$6:$F$825,2,0))</f>
      </c>
      <c r="E117" s="17">
        <f>IF(ISERROR(VLOOKUP($C117,'START LİSTE'!$B$6:$F$825,4,0)),"",VLOOKUP($C117,'START LİSTE'!$B$6:$F$825,4,0))</f>
      </c>
      <c r="F117" s="18">
        <f>IF(ISERROR(VLOOKUP($C117,'FERDİ SONUÇ'!$B$6:$H$913,6,0)),"",VLOOKUP($C117,'FERDİ SONUÇ'!$B$6:$H$913,6,0))</f>
      </c>
      <c r="G117" s="17" t="str">
        <f>IF(OR(E117="",F117="DQ",F117="DNF",F117="DNS",F117=""),"-",VLOOKUP(C117,'FERDİ SONUÇ'!$B$6:$H$913,7,0))</f>
        <v>-</v>
      </c>
      <c r="H117" s="17" t="str">
        <f>IF(OR(E117="",E117="F",F117="DQ",F117="DNF",F117="DNS",F117=""),"-",VLOOKUP(C117,'FERDİ SONUÇ'!$B$6:$H$913,7,0))</f>
        <v>-</v>
      </c>
      <c r="I117" s="20" t="str">
        <f>IF(ISERROR(SMALL(H114:H117,4)),"-",SMALL(H114:H117,4))</f>
        <v>-</v>
      </c>
      <c r="J117" s="21"/>
      <c r="BA117" s="2">
        <v>1165</v>
      </c>
    </row>
    <row r="118" spans="1:53" ht="15" customHeight="1">
      <c r="A118" s="6"/>
      <c r="B118" s="7"/>
      <c r="C118" s="33"/>
      <c r="D118" s="8">
        <f>IF(ISERROR(VLOOKUP($C118,'START LİSTE'!$B$6:$F$825,2,0)),"",VLOOKUP($C118,'START LİSTE'!$B$6:$F$825,2,0))</f>
      </c>
      <c r="E118" s="9">
        <f>IF(ISERROR(VLOOKUP($C118,'START LİSTE'!$B$6:$F$825,4,0)),"",VLOOKUP($C118,'START LİSTE'!$B$6:$F$825,4,0))</f>
      </c>
      <c r="F118" s="10">
        <f>IF(ISERROR(VLOOKUP($C118,'FERDİ SONUÇ'!$B$6:$H$913,6,0)),"",VLOOKUP($C118,'FERDİ SONUÇ'!$B$6:$H$913,6,0))</f>
      </c>
      <c r="G118" s="9" t="str">
        <f>IF(OR(E118="",F118="DQ",F118="DNF",F118="DNS",F118=""),"-",VLOOKUP(C118,'FERDİ SONUÇ'!$B$6:$H$913,7,0))</f>
        <v>-</v>
      </c>
      <c r="H118" s="9" t="str">
        <f>IF(OR(E118="",E118="F",F118="DQ",F118="DNF",F118="DNS",F118=""),"-",VLOOKUP(C118,'FERDİ SONUÇ'!$B$6:$H$913,7,0))</f>
        <v>-</v>
      </c>
      <c r="I118" s="12" t="str">
        <f>IF(ISERROR(SMALL(H118:H121,1)),"-",SMALL(H118:H121,1))</f>
        <v>-</v>
      </c>
      <c r="J118" s="13"/>
      <c r="BA118" s="2">
        <v>1168</v>
      </c>
    </row>
    <row r="119" spans="1:53" ht="15" customHeight="1">
      <c r="A119" s="14"/>
      <c r="B119" s="15"/>
      <c r="C119" s="34"/>
      <c r="D119" s="16">
        <f>IF(ISERROR(VLOOKUP($C119,'START LİSTE'!$B$6:$F$825,2,0)),"",VLOOKUP($C119,'START LİSTE'!$B$6:$F$825,2,0))</f>
      </c>
      <c r="E119" s="17">
        <f>IF(ISERROR(VLOOKUP($C119,'START LİSTE'!$B$6:$F$825,4,0)),"",VLOOKUP($C119,'START LİSTE'!$B$6:$F$825,4,0))</f>
      </c>
      <c r="F119" s="18">
        <f>IF(ISERROR(VLOOKUP($C119,'FERDİ SONUÇ'!$B$6:$H$913,6,0)),"",VLOOKUP($C119,'FERDİ SONUÇ'!$B$6:$H$913,6,0))</f>
      </c>
      <c r="G119" s="17" t="str">
        <f>IF(OR(E119="",F119="DQ",F119="DNF",F119="DNS",F119=""),"-",VLOOKUP(C119,'FERDİ SONUÇ'!$B$6:$H$913,7,0))</f>
        <v>-</v>
      </c>
      <c r="H119" s="17" t="str">
        <f>IF(OR(E119="",E119="F",F119="DQ",F119="DNF",F119="DNS",F119=""),"-",VLOOKUP(C119,'FERDİ SONUÇ'!$B$6:$H$913,7,0))</f>
        <v>-</v>
      </c>
      <c r="I119" s="20" t="str">
        <f>IF(ISERROR(SMALL(H118:H121,2)),"-",SMALL(H118:H121,2))</f>
        <v>-</v>
      </c>
      <c r="J119" s="21"/>
      <c r="BA119" s="2">
        <v>1169</v>
      </c>
    </row>
    <row r="120" spans="1:53" ht="15" customHeight="1">
      <c r="A120" s="35">
        <f>IF(AND(B120&lt;&gt;"",J120&lt;&gt;"DQ"),COUNT(J$6:J$125)-(RANK(J120,J$6:J$125)+COUNTIF(J$6:J120,J120))+2,IF(C118&lt;&gt;"",BA120,""))</f>
      </c>
      <c r="B120" s="15">
        <f>IF(ISERROR(VLOOKUP(C118,'START LİSTE'!$B$6:$F$825,3,0)),"",VLOOKUP(C118,'START LİSTE'!$B$6:$F$825,3,0))</f>
      </c>
      <c r="C120" s="34"/>
      <c r="D120" s="16">
        <f>IF(ISERROR(VLOOKUP($C120,'START LİSTE'!$B$6:$F$825,2,0)),"",VLOOKUP($C120,'START LİSTE'!$B$6:$F$825,2,0))</f>
      </c>
      <c r="E120" s="17">
        <f>IF(ISERROR(VLOOKUP($C120,'START LİSTE'!$B$6:$F$825,4,0)),"",VLOOKUP($C120,'START LİSTE'!$B$6:$F$825,4,0))</f>
      </c>
      <c r="F120" s="18">
        <f>IF(ISERROR(VLOOKUP($C120,'FERDİ SONUÇ'!$B$6:$H$913,6,0)),"",VLOOKUP($C120,'FERDİ SONUÇ'!$B$6:$H$913,6,0))</f>
      </c>
      <c r="G120" s="17" t="str">
        <f>IF(OR(E120="",F120="DQ",F120="DNF",F120="DNS",F120=""),"-",VLOOKUP(C120,'FERDİ SONUÇ'!$B$6:$H$913,7,0))</f>
        <v>-</v>
      </c>
      <c r="H120" s="17" t="str">
        <f>IF(OR(E120="",E120="F",F120="DQ",F120="DNF",F120="DNS",F120=""),"-",VLOOKUP(C120,'FERDİ SONUÇ'!$B$6:$H$913,7,0))</f>
        <v>-</v>
      </c>
      <c r="I120" s="20" t="str">
        <f>IF(ISERROR(SMALL(H118:H121,3)),"-",SMALL(H118:H121,3))</f>
        <v>-</v>
      </c>
      <c r="J120" s="22">
        <f>IF(C118="","",IF(OR(I118="-",I119="-",I120="-"),"DQ",SUM(I118,I119,I120)))</f>
      </c>
      <c r="BA120" s="2">
        <v>1170</v>
      </c>
    </row>
    <row r="121" spans="1:53" ht="15" customHeight="1">
      <c r="A121" s="14"/>
      <c r="B121" s="15"/>
      <c r="C121" s="34"/>
      <c r="D121" s="16">
        <f>IF(ISERROR(VLOOKUP($C121,'START LİSTE'!$B$6:$F$825,2,0)),"",VLOOKUP($C121,'START LİSTE'!$B$6:$F$825,2,0))</f>
      </c>
      <c r="E121" s="17">
        <f>IF(ISERROR(VLOOKUP($C121,'START LİSTE'!$B$6:$F$825,4,0)),"",VLOOKUP($C121,'START LİSTE'!$B$6:$F$825,4,0))</f>
      </c>
      <c r="F121" s="18">
        <f>IF(ISERROR(VLOOKUP($C121,'FERDİ SONUÇ'!$B$6:$H$913,6,0)),"",VLOOKUP($C121,'FERDİ SONUÇ'!$B$6:$H$913,6,0))</f>
      </c>
      <c r="G121" s="17" t="str">
        <f>IF(OR(E121="",F121="DQ",F121="DNF",F121="DNS",F121=""),"-",VLOOKUP(C121,'FERDİ SONUÇ'!$B$6:$H$913,7,0))</f>
        <v>-</v>
      </c>
      <c r="H121" s="17" t="str">
        <f>IF(OR(E121="",E121="F",F121="DQ",F121="DNF",F121="DNS",F121=""),"-",VLOOKUP(C121,'FERDİ SONUÇ'!$B$6:$H$913,7,0))</f>
        <v>-</v>
      </c>
      <c r="I121" s="20" t="str">
        <f>IF(ISERROR(SMALL(H118:H121,4)),"-",SMALL(H118:H121,4))</f>
        <v>-</v>
      </c>
      <c r="J121" s="21"/>
      <c r="BA121" s="2">
        <v>1171</v>
      </c>
    </row>
    <row r="122" spans="1:53" ht="15" customHeight="1">
      <c r="A122" s="6"/>
      <c r="B122" s="7"/>
      <c r="C122" s="33"/>
      <c r="D122" s="8">
        <f>IF(ISERROR(VLOOKUP($C122,'START LİSTE'!$B$6:$F$825,2,0)),"",VLOOKUP($C122,'START LİSTE'!$B$6:$F$825,2,0))</f>
      </c>
      <c r="E122" s="9">
        <f>IF(ISERROR(VLOOKUP($C122,'START LİSTE'!$B$6:$F$825,4,0)),"",VLOOKUP($C122,'START LİSTE'!$B$6:$F$825,4,0))</f>
      </c>
      <c r="F122" s="10">
        <f>IF(ISERROR(VLOOKUP($C122,'FERDİ SONUÇ'!$B$6:$H$913,6,0)),"",VLOOKUP($C122,'FERDİ SONUÇ'!$B$6:$H$913,6,0))</f>
      </c>
      <c r="G122" s="9" t="str">
        <f>IF(OR(E122="",F122="DQ",F122="DNF",F122="DNS",F122=""),"-",VLOOKUP(C122,'FERDİ SONUÇ'!$B$6:$H$913,7,0))</f>
        <v>-</v>
      </c>
      <c r="H122" s="9" t="str">
        <f>IF(OR(E122="",E122="F",F122="DQ",F122="DNF",F122="DNS",F122=""),"-",VLOOKUP(C122,'FERDİ SONUÇ'!$B$6:$H$913,7,0))</f>
        <v>-</v>
      </c>
      <c r="I122" s="12" t="str">
        <f>IF(ISERROR(SMALL(H122:H125,1)),"-",SMALL(H122:H125,1))</f>
        <v>-</v>
      </c>
      <c r="J122" s="13"/>
      <c r="BA122" s="2">
        <v>1174</v>
      </c>
    </row>
    <row r="123" spans="1:53" ht="15" customHeight="1">
      <c r="A123" s="14"/>
      <c r="B123" s="15"/>
      <c r="C123" s="34"/>
      <c r="D123" s="16">
        <f>IF(ISERROR(VLOOKUP($C123,'START LİSTE'!$B$6:$F$825,2,0)),"",VLOOKUP($C123,'START LİSTE'!$B$6:$F$825,2,0))</f>
      </c>
      <c r="E123" s="17">
        <f>IF(ISERROR(VLOOKUP($C123,'START LİSTE'!$B$6:$F$825,4,0)),"",VLOOKUP($C123,'START LİSTE'!$B$6:$F$825,4,0))</f>
      </c>
      <c r="F123" s="18">
        <f>IF(ISERROR(VLOOKUP($C123,'FERDİ SONUÇ'!$B$6:$H$913,6,0)),"",VLOOKUP($C123,'FERDİ SONUÇ'!$B$6:$H$913,6,0))</f>
      </c>
      <c r="G123" s="17" t="str">
        <f>IF(OR(E123="",F123="DQ",F123="DNF",F123="DNS",F123=""),"-",VLOOKUP(C123,'FERDİ SONUÇ'!$B$6:$H$913,7,0))</f>
        <v>-</v>
      </c>
      <c r="H123" s="17" t="str">
        <f>IF(OR(E123="",E123="F",F123="DQ",F123="DNF",F123="DNS",F123=""),"-",VLOOKUP(C123,'FERDİ SONUÇ'!$B$6:$H$913,7,0))</f>
        <v>-</v>
      </c>
      <c r="I123" s="20" t="str">
        <f>IF(ISERROR(SMALL(H122:H125,2)),"-",SMALL(H122:H125,2))</f>
        <v>-</v>
      </c>
      <c r="J123" s="21"/>
      <c r="BA123" s="2">
        <v>1175</v>
      </c>
    </row>
    <row r="124" spans="1:53" ht="15" customHeight="1">
      <c r="A124" s="35">
        <f>IF(AND(B124&lt;&gt;"",J124&lt;&gt;"DQ"),COUNT(J$6:J$125)-(RANK(J124,J$6:J$125)+COUNTIF(J$6:J124,J124))+2,IF(C122&lt;&gt;"",BA124,""))</f>
      </c>
      <c r="B124" s="15">
        <f>IF(ISERROR(VLOOKUP(C122,'START LİSTE'!$B$6:$F$825,3,0)),"",VLOOKUP(C122,'START LİSTE'!$B$6:$F$825,3,0))</f>
      </c>
      <c r="C124" s="34"/>
      <c r="D124" s="16">
        <f>IF(ISERROR(VLOOKUP($C124,'START LİSTE'!$B$6:$F$825,2,0)),"",VLOOKUP($C124,'START LİSTE'!$B$6:$F$825,2,0))</f>
      </c>
      <c r="E124" s="17">
        <f>IF(ISERROR(VLOOKUP($C124,'START LİSTE'!$B$6:$F$825,4,0)),"",VLOOKUP($C124,'START LİSTE'!$B$6:$F$825,4,0))</f>
      </c>
      <c r="F124" s="18">
        <f>IF(ISERROR(VLOOKUP($C124,'FERDİ SONUÇ'!$B$6:$H$913,6,0)),"",VLOOKUP($C124,'FERDİ SONUÇ'!$B$6:$H$913,6,0))</f>
      </c>
      <c r="G124" s="17" t="str">
        <f>IF(OR(E124="",F124="DQ",F124="DNF",F124="DNS",F124=""),"-",VLOOKUP(C124,'FERDİ SONUÇ'!$B$6:$H$913,7,0))</f>
        <v>-</v>
      </c>
      <c r="H124" s="17" t="str">
        <f>IF(OR(E124="",E124="F",F124="DQ",F124="DNF",F124="DNS",F124=""),"-",VLOOKUP(C124,'FERDİ SONUÇ'!$B$6:$H$913,7,0))</f>
        <v>-</v>
      </c>
      <c r="I124" s="20" t="str">
        <f>IF(ISERROR(SMALL(H122:H125,3)),"-",SMALL(H122:H125,3))</f>
        <v>-</v>
      </c>
      <c r="J124" s="22">
        <f>IF(C122="","",IF(OR(I122="-",I123="-",I124="-"),"DQ",SUM(I122,I123,I124)))</f>
      </c>
      <c r="BA124" s="2">
        <v>1176</v>
      </c>
    </row>
    <row r="125" spans="1:53" ht="15" customHeight="1">
      <c r="A125" s="24"/>
      <c r="B125" s="25"/>
      <c r="C125" s="34"/>
      <c r="D125" s="26">
        <f>IF(ISERROR(VLOOKUP($C125,'START LİSTE'!$B$6:$F$825,2,0)),"",VLOOKUP($C125,'START LİSTE'!$B$6:$F$825,2,0))</f>
      </c>
      <c r="E125" s="27">
        <f>IF(ISERROR(VLOOKUP($C125,'START LİSTE'!$B$6:$F$825,4,0)),"",VLOOKUP($C125,'START LİSTE'!$B$6:$F$825,4,0))</f>
      </c>
      <c r="F125" s="28">
        <f>IF(ISERROR(VLOOKUP($C125,'FERDİ SONUÇ'!$B$6:$H$913,6,0)),"",VLOOKUP($C125,'FERDİ SONUÇ'!$B$6:$H$913,6,0))</f>
      </c>
      <c r="G125" s="27" t="str">
        <f>IF(OR(E125="",F125="DQ",F125="DNF",F125="DNS",F125=""),"-",VLOOKUP(C125,'FERDİ SONUÇ'!$B$6:$H$913,7,0))</f>
        <v>-</v>
      </c>
      <c r="H125" s="27" t="str">
        <f>IF(OR(E125="",E125="F",F125="DQ",F125="DNF",F125="DNS",F125=""),"-",VLOOKUP(C125,'FERDİ SONUÇ'!$B$6:$H$913,7,0))</f>
        <v>-</v>
      </c>
      <c r="I125" s="29" t="str">
        <f>IF(ISERROR(SMALL(H122:H125,4)),"-",SMALL(H122:H125,4))</f>
        <v>-</v>
      </c>
      <c r="J125" s="30"/>
      <c r="BA125" s="2">
        <v>1177</v>
      </c>
    </row>
    <row r="126" ht="12.75">
      <c r="BA126" s="2"/>
    </row>
    <row r="127" ht="12.75">
      <c r="BA127" s="2"/>
    </row>
    <row r="128" ht="12.75">
      <c r="BA128" s="2"/>
    </row>
    <row r="129" ht="12.75">
      <c r="BA129" s="2"/>
    </row>
    <row r="130" ht="12.75">
      <c r="BA130" s="2"/>
    </row>
    <row r="131" ht="12.75">
      <c r="BA131" s="2"/>
    </row>
    <row r="132" ht="12.75">
      <c r="BA132" s="2"/>
    </row>
    <row r="133" ht="12.75">
      <c r="BA133" s="2"/>
    </row>
    <row r="134" ht="12.75">
      <c r="BA134" s="2"/>
    </row>
    <row r="135" ht="12.75">
      <c r="BA135" s="2"/>
    </row>
    <row r="136" ht="12.75">
      <c r="BA136" s="2"/>
    </row>
    <row r="137" ht="12.75">
      <c r="BA137" s="2"/>
    </row>
    <row r="138" ht="12.75">
      <c r="BA138" s="2"/>
    </row>
    <row r="139" ht="12.75">
      <c r="BA139" s="2"/>
    </row>
    <row r="140" ht="12.75">
      <c r="BA140" s="2"/>
    </row>
    <row r="141" ht="12.75">
      <c r="BA141" s="2"/>
    </row>
    <row r="142" ht="12.75">
      <c r="BA142" s="2"/>
    </row>
    <row r="143" ht="12.75">
      <c r="BA143" s="2"/>
    </row>
    <row r="144" ht="12.75">
      <c r="BA144" s="2"/>
    </row>
    <row r="145" ht="12.75">
      <c r="BA145" s="2"/>
    </row>
    <row r="146" ht="12.75">
      <c r="BA146" s="2"/>
    </row>
    <row r="147" ht="12.75">
      <c r="BA147" s="2"/>
    </row>
    <row r="148" ht="12.75">
      <c r="BA148" s="2"/>
    </row>
    <row r="149" ht="12.75">
      <c r="BA149" s="2"/>
    </row>
    <row r="150" ht="12.75">
      <c r="BA150" s="2"/>
    </row>
    <row r="151" ht="12.75">
      <c r="BA151" s="2"/>
    </row>
    <row r="152" ht="12.75">
      <c r="BA152" s="2"/>
    </row>
  </sheetData>
  <sheetProtection password="EF9D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</conditionalFormatting>
  <conditionalFormatting sqref="J6:J125">
    <cfRule type="duplicateValues" priority="128" dxfId="0" stopIfTrue="1">
      <formula>AND(COUNTIF($J$6:$J$125,J6)&gt;1,NOT(ISBLANK(J6)))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B8:B73 B74:B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75" t="str">
        <f>KAPAK!A2</f>
        <v>Türkiye Atletizm Federasyonu
TekirdağAtletizm İl Temsilciliği</v>
      </c>
      <c r="B1" s="175"/>
      <c r="C1" s="175"/>
      <c r="D1" s="175"/>
      <c r="E1" s="175"/>
      <c r="F1" s="175"/>
      <c r="G1" s="175"/>
      <c r="H1" s="175"/>
    </row>
    <row r="2" spans="1:8" s="1" customFormat="1" ht="14.25">
      <c r="A2" s="181" t="str">
        <f>KAPAK!B24</f>
        <v>Küçükler ve Yıldızlar Bölgesel Kros Ligi 1.Kademe</v>
      </c>
      <c r="B2" s="181"/>
      <c r="C2" s="181"/>
      <c r="D2" s="181"/>
      <c r="E2" s="181"/>
      <c r="F2" s="181"/>
      <c r="G2" s="181"/>
      <c r="H2" s="181"/>
    </row>
    <row r="3" spans="1:8" s="1" customFormat="1" ht="14.25">
      <c r="A3" s="182" t="str">
        <f>KAPAK!B27</f>
        <v>Tekirdağ</v>
      </c>
      <c r="B3" s="182"/>
      <c r="C3" s="182"/>
      <c r="D3" s="182"/>
      <c r="E3" s="182"/>
      <c r="F3" s="182"/>
      <c r="G3" s="182"/>
      <c r="H3" s="182"/>
    </row>
    <row r="4" spans="1:8" s="1" customFormat="1" ht="17.25" customHeight="1">
      <c r="A4" s="178" t="str">
        <f>KAPAK!B26</f>
        <v>Küçük Kızlar</v>
      </c>
      <c r="B4" s="178"/>
      <c r="C4" s="179" t="str">
        <f>KAPAK!B25</f>
        <v>1500 Metre</v>
      </c>
      <c r="D4" s="179"/>
      <c r="E4" s="53"/>
      <c r="F4" s="180">
        <f>KAPAK!B28</f>
        <v>41672.416666666664</v>
      </c>
      <c r="G4" s="180"/>
      <c r="H4" s="180"/>
    </row>
    <row r="5" spans="1:8" s="4" customFormat="1" ht="29.25" customHeight="1">
      <c r="A5" s="61" t="s">
        <v>5</v>
      </c>
      <c r="B5" s="54" t="s">
        <v>18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KAYIT'!$C$6:$C$125,MATCH(C8,'TAKIM KAYIT'!$C$6:$C$125,0)-2))</f>
        <v>713</v>
      </c>
      <c r="D6" s="8" t="str">
        <f>IF(ISERROR(VLOOKUP($C6,'START LİSTE'!$B$6:$F$825,2,0)),"",VLOOKUP($C6,'START LİSTE'!$B$6:$F$825,2,0))</f>
        <v>EZGİ KAYA</v>
      </c>
      <c r="E6" s="9" t="str">
        <f>IF(ISERROR(VLOOKUP($C6,'START LİSTE'!$B$6:$F$825,4,0)),"",VLOOKUP($C6,'START LİSTE'!$B$6:$F$825,4,0))</f>
        <v>T</v>
      </c>
      <c r="F6" s="10">
        <f>IF(ISERROR(VLOOKUP($C6,'FERDİ SONUÇ'!$B$6:$H$913,6,0)),"",VLOOKUP($C6,'FERDİ SONUÇ'!$B$6:$H$913,6,0))</f>
        <v>502</v>
      </c>
      <c r="G6" s="56">
        <f>IF(OR(E6="",F6="DQ",F6="DNF",F6="DNS",F6=""),"-",VLOOKUP(C6,'FERDİ SONUÇ'!$B$6:$H$913,7,0))</f>
        <v>2</v>
      </c>
      <c r="H6" s="13"/>
    </row>
    <row r="7" spans="1:8" s="1" customFormat="1" ht="14.25" customHeight="1">
      <c r="A7" s="14"/>
      <c r="B7" s="15"/>
      <c r="C7" s="57">
        <f>IF(A8="","",INDEX('TAKIM KAYIT'!$C$6:$C$125,MATCH(C8,'TAKIM KAYIT'!$C$6:$C$125,0)-1))</f>
        <v>714</v>
      </c>
      <c r="D7" s="16" t="str">
        <f>IF(ISERROR(VLOOKUP($C7,'START LİSTE'!$B$6:$F$825,2,0)),"",VLOOKUP($C7,'START LİSTE'!$B$6:$F$825,2,0))</f>
        <v>EMİNE BAYDİLİ</v>
      </c>
      <c r="E7" s="17" t="str">
        <f>IF(ISERROR(VLOOKUP($C7,'START LİSTE'!$B$6:$F$825,4,0)),"",VLOOKUP($C7,'START LİSTE'!$B$6:$F$825,4,0))</f>
        <v>T</v>
      </c>
      <c r="F7" s="18">
        <f>IF(ISERROR(VLOOKUP($C7,'FERDİ SONUÇ'!$B$6:$H$913,6,0)),"",VLOOKUP($C7,'FERDİ SONUÇ'!$B$6:$H$913,6,0))</f>
        <v>516</v>
      </c>
      <c r="G7" s="58">
        <f>IF(OR(E7="",F7="DQ",F7="DNF",F7="DNS",F7=""),"-",VLOOKUP(C7,'FERDİ SONUÇ'!$B$6:$H$913,7,0))</f>
        <v>13</v>
      </c>
      <c r="H7" s="21"/>
    </row>
    <row r="8" spans="1:8" s="1" customFormat="1" ht="14.25" customHeight="1">
      <c r="A8" s="60">
        <f>IF(ISERROR(SMALL('TAKIM KAYIT'!$A$6:$A$125,1)),"",SMALL('TAKIM KAYIT'!$A$6:$A$125,1))</f>
        <v>1</v>
      </c>
      <c r="B8" s="15" t="str">
        <f>IF(A8="","",VLOOKUP(A8,'TAKIM KAYIT'!$A$6:$J$125,2,FALSE))</f>
        <v>İSTANBUL-PENDİK BELEDİYE SPOR</v>
      </c>
      <c r="C8" s="57">
        <f>IF(A8="","",VLOOKUP(A8,'TAKIM KAYIT'!$A$6:$J$125,3,FALSE))</f>
        <v>715</v>
      </c>
      <c r="D8" s="16" t="str">
        <f>IF(ISERROR(VLOOKUP($C8,'START LİSTE'!$B$6:$F$825,2,0)),"",VLOOKUP($C8,'START LİSTE'!$B$6:$F$825,2,0))</f>
        <v>ZEHRA ERHAN</v>
      </c>
      <c r="E8" s="17" t="str">
        <f>IF(ISERROR(VLOOKUP($C8,'START LİSTE'!$B$6:$F$825,4,0)),"",VLOOKUP($C8,'START LİSTE'!$B$6:$F$825,4,0))</f>
        <v>T</v>
      </c>
      <c r="F8" s="18">
        <f>IF(ISERROR(VLOOKUP($C8,'FERDİ SONUÇ'!$B$6:$H$913,6,0)),"",VLOOKUP($C8,'FERDİ SONUÇ'!$B$6:$H$913,6,0))</f>
        <v>501</v>
      </c>
      <c r="G8" s="58">
        <f>IF(OR(E8="",F8="DQ",F8="DNF",F8="DNS",F8=""),"-",VLOOKUP(C8,'FERDİ SONUÇ'!$B$6:$H$913,7,0))</f>
        <v>1</v>
      </c>
      <c r="H8" s="22">
        <f>IF(A8="","",VLOOKUP(A8,'TAKIM KAYIT'!$A$6:$K$125,10,FALSE))</f>
        <v>16</v>
      </c>
    </row>
    <row r="9" spans="1:8" s="1" customFormat="1" ht="14.25" customHeight="1">
      <c r="A9" s="14"/>
      <c r="B9" s="15"/>
      <c r="C9" s="57">
        <f>IF(A8="","",INDEX('TAKIM KAYIT'!$C$6:$C$125,MATCH(C8,'TAKIM KAYIT'!$C$6:$C$125,0)+1))</f>
        <v>716</v>
      </c>
      <c r="D9" s="16" t="str">
        <f>IF(ISERROR(VLOOKUP($C9,'START LİSTE'!$B$6:$F$825,2,0)),"",VLOOKUP($C9,'START LİSTE'!$B$6:$F$825,2,0))</f>
        <v>CANSUNUR KAYA</v>
      </c>
      <c r="E9" s="17" t="str">
        <f>IF(ISERROR(VLOOKUP($C9,'START LİSTE'!$B$6:$F$825,4,0)),"",VLOOKUP($C9,'START LİSTE'!$B$6:$F$825,4,0))</f>
        <v>T</v>
      </c>
      <c r="F9" s="18">
        <f>IF(ISERROR(VLOOKUP($C9,'FERDİ SONUÇ'!$B$6:$H$913,6,0)),"",VLOOKUP($C9,'FERDİ SONUÇ'!$B$6:$H$913,6,0))</f>
        <v>529</v>
      </c>
      <c r="G9" s="58">
        <f>IF(OR(E9="",F9="DQ",F9="DNF",F9="DNS",F9=""),"-",VLOOKUP(C9,'FERDİ SONUÇ'!$B$6:$H$913,7,0))</f>
        <v>22</v>
      </c>
      <c r="H9" s="21"/>
    </row>
    <row r="10" spans="1:8" ht="14.25" customHeight="1">
      <c r="A10" s="6"/>
      <c r="B10" s="7"/>
      <c r="C10" s="55">
        <f>IF(A12="","",INDEX('TAKIM KAYIT'!$C$6:$C$125,MATCH(C12,'TAKIM KAYIT'!$C$6:$C$125,0)-2))</f>
        <v>741</v>
      </c>
      <c r="D10" s="8" t="str">
        <f>IF(ISERROR(VLOOKUP($C10,'START LİSTE'!$B$6:$F$825,2,0)),"",VLOOKUP($C10,'START LİSTE'!$B$6:$F$825,2,0))</f>
        <v>ÖZGENUR KARASU</v>
      </c>
      <c r="E10" s="9" t="str">
        <f>IF(ISERROR(VLOOKUP($C10,'START LİSTE'!$B$6:$F$825,4,0)),"",VLOOKUP($C10,'START LİSTE'!$B$6:$F$825,4,0))</f>
        <v>T</v>
      </c>
      <c r="F10" s="10">
        <f>IF(ISERROR(VLOOKUP($C10,'FERDİ SONUÇ'!$B$6:$H$913,6,0)),"",VLOOKUP($C10,'FERDİ SONUÇ'!$B$6:$H$913,6,0))</f>
        <v>506</v>
      </c>
      <c r="G10" s="56">
        <f>IF(OR(E10="",F10="DQ",F10="DNF",F10="DNS",F10=""),"-",VLOOKUP(C10,'FERDİ SONUÇ'!$B$6:$H$913,7,0))</f>
        <v>5</v>
      </c>
      <c r="H10" s="13"/>
    </row>
    <row r="11" spans="1:8" ht="14.25" customHeight="1">
      <c r="A11" s="14"/>
      <c r="B11" s="15"/>
      <c r="C11" s="57">
        <f>IF(A12="","",INDEX('TAKIM KAYIT'!$C$6:$C$125,MATCH(C12,'TAKIM KAYIT'!$C$6:$C$125,0)-1))</f>
        <v>742</v>
      </c>
      <c r="D11" s="16" t="str">
        <f>IF(ISERROR(VLOOKUP($C11,'START LİSTE'!$B$6:$F$825,2,0)),"",VLOOKUP($C11,'START LİSTE'!$B$6:$F$825,2,0))</f>
        <v>BERİVAN DEMİR</v>
      </c>
      <c r="E11" s="17" t="str">
        <f>IF(ISERROR(VLOOKUP($C11,'START LİSTE'!$B$6:$F$825,4,0)),"",VLOOKUP($C11,'START LİSTE'!$B$6:$F$825,4,0))</f>
        <v>T</v>
      </c>
      <c r="F11" s="18">
        <f>IF(ISERROR(VLOOKUP($C11,'FERDİ SONUÇ'!$B$6:$H$913,6,0)),"",VLOOKUP($C11,'FERDİ SONUÇ'!$B$6:$H$913,6,0))</f>
        <v>511</v>
      </c>
      <c r="G11" s="58">
        <f>IF(OR(E11="",F11="DQ",F11="DNF",F11="DNS",F11=""),"-",VLOOKUP(C11,'FERDİ SONUÇ'!$B$6:$H$913,7,0))</f>
        <v>8</v>
      </c>
      <c r="H11" s="21"/>
    </row>
    <row r="12" spans="1:8" ht="14.25" customHeight="1">
      <c r="A12" s="60">
        <f>IF(ISERROR(SMALL('TAKIM KAYIT'!$A$6:$A$125,2)),"",SMALL('TAKIM KAYIT'!$A$6:$A$125,2))</f>
        <v>2</v>
      </c>
      <c r="B12" s="15" t="str">
        <f>IF(A12="","",VLOOKUP(A12,'TAKIM KAYIT'!$A$6:$J$125,2,FALSE))</f>
        <v>SAKARYA GENÇLİK HİZMETL..</v>
      </c>
      <c r="C12" s="57">
        <f>IF(A12="","",VLOOKUP(A12,'TAKIM KAYIT'!$A$6:$J$125,3,FALSE))</f>
        <v>743</v>
      </c>
      <c r="D12" s="16" t="str">
        <f>IF(ISERROR(VLOOKUP($C12,'START LİSTE'!$B$6:$F$825,2,0)),"",VLOOKUP($C12,'START LİSTE'!$B$6:$F$825,2,0))</f>
        <v>SİNEM DURGUT</v>
      </c>
      <c r="E12" s="17" t="str">
        <f>IF(ISERROR(VLOOKUP($C12,'START LİSTE'!$B$6:$F$825,4,0)),"",VLOOKUP($C12,'START LİSTE'!$B$6:$F$825,4,0))</f>
        <v>T</v>
      </c>
      <c r="F12" s="18">
        <f>IF(ISERROR(VLOOKUP($C12,'FERDİ SONUÇ'!$B$6:$H$913,6,0)),"",VLOOKUP($C12,'FERDİ SONUÇ'!$B$6:$H$913,6,0))</f>
        <v>514</v>
      </c>
      <c r="G12" s="58">
        <f>IF(OR(E12="",F12="DQ",F12="DNF",F12="DNS",F12=""),"-",VLOOKUP(C12,'FERDİ SONUÇ'!$B$6:$H$913,7,0))</f>
        <v>10</v>
      </c>
      <c r="H12" s="22">
        <f>IF(A12="","",VLOOKUP(A12,'TAKIM KAYIT'!$A$6:$J$125,10,FALSE))</f>
        <v>23</v>
      </c>
    </row>
    <row r="13" spans="1:8" ht="14.25" customHeight="1">
      <c r="A13" s="14"/>
      <c r="B13" s="15"/>
      <c r="C13" s="57">
        <f>IF(A12="","",INDEX('TAKIM KAYIT'!$C$6:$C$125,MATCH(C12,'TAKIM KAYIT'!$C$6:$C$125,0)+1))</f>
        <v>744</v>
      </c>
      <c r="D13" s="16" t="str">
        <f>IF(ISERROR(VLOOKUP($C13,'START LİSTE'!$B$6:$F$825,2,0)),"",VLOOKUP($C13,'START LİSTE'!$B$6:$F$825,2,0))</f>
        <v>BEYZA GÜZEL</v>
      </c>
      <c r="E13" s="17" t="str">
        <f>IF(ISERROR(VLOOKUP($C13,'START LİSTE'!$B$6:$F$825,4,0)),"",VLOOKUP($C13,'START LİSTE'!$B$6:$F$825,4,0))</f>
        <v>T</v>
      </c>
      <c r="F13" s="18">
        <f>IF(ISERROR(VLOOKUP($C13,'FERDİ SONUÇ'!$B$6:$H$913,6,0)),"",VLOOKUP($C13,'FERDİ SONUÇ'!$B$6:$H$913,6,0))</f>
        <v>534</v>
      </c>
      <c r="G13" s="58">
        <f>IF(OR(E13="",F13="DQ",F13="DNF",F13="DNS",F13=""),"-",VLOOKUP(C13,'FERDİ SONUÇ'!$B$6:$H$913,7,0))</f>
        <v>27</v>
      </c>
      <c r="H13" s="21"/>
    </row>
    <row r="14" spans="1:8" ht="14.25" customHeight="1">
      <c r="A14" s="6"/>
      <c r="B14" s="7"/>
      <c r="C14" s="55">
        <f>IF(A16="","",INDEX('TAKIM KAYIT'!$C$6:$C$125,MATCH(C16,'TAKIM KAYIT'!$C$6:$C$125,0)-2))</f>
        <v>665</v>
      </c>
      <c r="D14" s="8" t="str">
        <f>IF(ISERROR(VLOOKUP($C14,'START LİSTE'!$B$6:$F$825,2,0)),"",VLOOKUP($C14,'START LİSTE'!$B$6:$F$825,2,0))</f>
        <v>MERVE KAPLAN</v>
      </c>
      <c r="E14" s="9" t="str">
        <f>IF(ISERROR(VLOOKUP($C14,'START LİSTE'!$B$6:$F$825,4,0)),"",VLOOKUP($C14,'START LİSTE'!$B$6:$F$825,4,0))</f>
        <v>T</v>
      </c>
      <c r="F14" s="10">
        <f>IF(ISERROR(VLOOKUP($C14,'FERDİ SONUÇ'!$B$6:$H$913,6,0)),"",VLOOKUP($C14,'FERDİ SONUÇ'!$B$6:$H$913,6,0))</f>
        <v>502</v>
      </c>
      <c r="G14" s="56">
        <f>IF(OR(E14="",F14="DQ",F14="DNF",F14="DNS",F14=""),"-",VLOOKUP(C14,'FERDİ SONUÇ'!$B$6:$H$913,7,0))</f>
        <v>3</v>
      </c>
      <c r="H14" s="13"/>
    </row>
    <row r="15" spans="1:8" ht="14.25" customHeight="1">
      <c r="A15" s="14"/>
      <c r="B15" s="15"/>
      <c r="C15" s="57">
        <f>IF(A16="","",INDEX('TAKIM KAYIT'!$C$6:$C$125,MATCH(C16,'TAKIM KAYIT'!$C$6:$C$125,0)-1))</f>
        <v>666</v>
      </c>
      <c r="D15" s="16" t="str">
        <f>IF(ISERROR(VLOOKUP($C15,'START LİSTE'!$B$6:$F$825,2,0)),"",VLOOKUP($C15,'START LİSTE'!$B$6:$F$825,2,0))</f>
        <v>LEYLA YANARDAĞ</v>
      </c>
      <c r="E15" s="17" t="str">
        <f>IF(ISERROR(VLOOKUP($C15,'START LİSTE'!$B$6:$F$825,4,0)),"",VLOOKUP($C15,'START LİSTE'!$B$6:$F$825,4,0))</f>
        <v>T</v>
      </c>
      <c r="F15" s="18">
        <f>IF(ISERROR(VLOOKUP($C15,'FERDİ SONUÇ'!$B$6:$H$913,6,0)),"",VLOOKUP($C15,'FERDİ SONUÇ'!$B$6:$H$913,6,0))</f>
        <v>505</v>
      </c>
      <c r="G15" s="58">
        <f>IF(OR(E15="",F15="DQ",F15="DNF",F15="DNS",F15=""),"-",VLOOKUP(C15,'FERDİ SONUÇ'!$B$6:$H$913,7,0))</f>
        <v>4</v>
      </c>
      <c r="H15" s="21"/>
    </row>
    <row r="16" spans="1:8" ht="14.25" customHeight="1">
      <c r="A16" s="60">
        <f>IF(ISERROR(SMALL('TAKIM KAYIT'!$A$6:$A$125,3)),"",SMALL('TAKIM KAYIT'!$A$6:$A$125,3))</f>
        <v>3</v>
      </c>
      <c r="B16" s="15" t="str">
        <f>IF(A16="","",VLOOKUP(A16,'TAKIM KAYIT'!$A$6:$J$125,2,FALSE))</f>
        <v>BURSA-BÜYÜKŞEHİR BEL.SPOR</v>
      </c>
      <c r="C16" s="57">
        <f>IF(A16="","",VLOOKUP(A16,'TAKIM KAYIT'!$A$6:$J$125,3,FALSE))</f>
        <v>667</v>
      </c>
      <c r="D16" s="16" t="str">
        <f>IF(ISERROR(VLOOKUP($C16,'START LİSTE'!$B$6:$F$825,2,0)),"",VLOOKUP($C16,'START LİSTE'!$B$6:$F$825,2,0))</f>
        <v>JİYAN ÖNER</v>
      </c>
      <c r="E16" s="17" t="str">
        <f>IF(ISERROR(VLOOKUP($C16,'START LİSTE'!$B$6:$F$825,4,0)),"",VLOOKUP($C16,'START LİSTE'!$B$6:$F$825,4,0))</f>
        <v>T</v>
      </c>
      <c r="F16" s="18">
        <f>IF(ISERROR(VLOOKUP($C16,'FERDİ SONUÇ'!$B$6:$H$913,6,0)),"",VLOOKUP($C16,'FERDİ SONUÇ'!$B$6:$H$913,6,0))</f>
        <v>533</v>
      </c>
      <c r="G16" s="58">
        <f>IF(OR(E16="",F16="DQ",F16="DNF",F16="DNS",F16=""),"-",VLOOKUP(C16,'FERDİ SONUÇ'!$B$6:$H$913,7,0))</f>
        <v>26</v>
      </c>
      <c r="H16" s="22">
        <f>IF(A16="","",VLOOKUP(A16,'TAKIM KAYIT'!$A$6:$K$125,10,FALSE))</f>
        <v>23</v>
      </c>
    </row>
    <row r="17" spans="1:8" ht="14.25" customHeight="1">
      <c r="A17" s="14"/>
      <c r="B17" s="15"/>
      <c r="C17" s="57">
        <f>IF(A16="","",INDEX('TAKIM KAYIT'!$C$6:$C$125,MATCH(C16,'TAKIM KAYIT'!$C$6:$C$125,0)+1))</f>
        <v>668</v>
      </c>
      <c r="D17" s="16" t="str">
        <f>IF(ISERROR(VLOOKUP($C17,'START LİSTE'!$B$6:$F$825,2,0)),"",VLOOKUP($C17,'START LİSTE'!$B$6:$F$825,2,0))</f>
        <v>HİDAYET ZEYNEP SÜMEN</v>
      </c>
      <c r="E17" s="17" t="str">
        <f>IF(ISERROR(VLOOKUP($C17,'START LİSTE'!$B$6:$F$825,4,0)),"",VLOOKUP($C17,'START LİSTE'!$B$6:$F$825,4,0))</f>
        <v>T</v>
      </c>
      <c r="F17" s="18">
        <f>IF(ISERROR(VLOOKUP($C17,'FERDİ SONUÇ'!$B$6:$H$913,6,0)),"",VLOOKUP($C17,'FERDİ SONUÇ'!$B$6:$H$913,6,0))</f>
        <v>521</v>
      </c>
      <c r="G17" s="58">
        <f>IF(OR(E17="",F17="DQ",F17="DNF",F17="DNS",F17=""),"-",VLOOKUP(C17,'FERDİ SONUÇ'!$B$6:$H$913,7,0))</f>
        <v>16</v>
      </c>
      <c r="H17" s="21"/>
    </row>
    <row r="18" spans="1:8" ht="14.25" customHeight="1">
      <c r="A18" s="6"/>
      <c r="B18" s="7"/>
      <c r="C18" s="55">
        <f>IF(A20="","",INDEX('TAKIM KAYIT'!$C$6:$C$125,MATCH(C20,'TAKIM KAYIT'!$C$6:$C$125,0)-2))</f>
        <v>669</v>
      </c>
      <c r="D18" s="8" t="str">
        <f>IF(ISERROR(VLOOKUP($C18,'START LİSTE'!$B$6:$F$825,2,0)),"",VLOOKUP($C18,'START LİSTE'!$B$6:$F$825,2,0))</f>
        <v>ESLEM GEZEN</v>
      </c>
      <c r="E18" s="9" t="str">
        <f>IF(ISERROR(VLOOKUP($C18,'START LİSTE'!$B$6:$F$825,4,0)),"",VLOOKUP($C18,'START LİSTE'!$B$6:$F$825,4,0))</f>
        <v>T</v>
      </c>
      <c r="F18" s="10">
        <f>IF(ISERROR(VLOOKUP($C18,'FERDİ SONUÇ'!$B$6:$H$913,6,0)),"",VLOOKUP($C18,'FERDİ SONUÇ'!$B$6:$H$913,6,0))</f>
        <v>513</v>
      </c>
      <c r="G18" s="12">
        <f>IF(OR(E18="",F18="DQ",F18="DNF",F18="DNS",F18=""),"-",VLOOKUP(C18,'FERDİ SONUÇ'!$B$6:$H$913,7,0))</f>
        <v>9</v>
      </c>
      <c r="H18" s="13"/>
    </row>
    <row r="19" spans="1:8" ht="14.25" customHeight="1">
      <c r="A19" s="14"/>
      <c r="B19" s="15"/>
      <c r="C19" s="57">
        <f>IF(A20="","",INDEX('TAKIM KAYIT'!$C$6:$C$125,MATCH(C20,'TAKIM KAYIT'!$C$6:$C$125,0)-1))</f>
        <v>670</v>
      </c>
      <c r="D19" s="16" t="str">
        <f>IF(ISERROR(VLOOKUP($C19,'START LİSTE'!$B$6:$F$825,2,0)),"",VLOOKUP($C19,'START LİSTE'!$B$6:$F$825,2,0))</f>
        <v>AZİME ALAN</v>
      </c>
      <c r="E19" s="17" t="str">
        <f>IF(ISERROR(VLOOKUP($C19,'START LİSTE'!$B$6:$F$825,4,0)),"",VLOOKUP($C19,'START LİSTE'!$B$6:$F$825,4,0))</f>
        <v>T</v>
      </c>
      <c r="F19" s="18">
        <f>IF(ISERROR(VLOOKUP($C19,'FERDİ SONUÇ'!$B$6:$H$913,6,0)),"",VLOOKUP($C19,'FERDİ SONUÇ'!$B$6:$H$913,6,0))</f>
        <v>516</v>
      </c>
      <c r="G19" s="20">
        <f>IF(OR(E19="",F19="DQ",F19="DNF",F19="DNS",F19=""),"-",VLOOKUP(C19,'FERDİ SONUÇ'!$B$6:$H$913,7,0))</f>
        <v>12</v>
      </c>
      <c r="H19" s="21"/>
    </row>
    <row r="20" spans="1:8" ht="14.25" customHeight="1">
      <c r="A20" s="60">
        <f>IF(ISERROR(SMALL('TAKIM KAYIT'!$A$6:$A$125,4)),"",SMALL('TAKIM KAYIT'!$A$6:$A$125,4))</f>
        <v>4</v>
      </c>
      <c r="B20" s="15" t="str">
        <f>IF(A20="","",VLOOKUP(A20,'TAKIM KAYIT'!$A$6:$J$125,2,FALSE))</f>
        <v>BURSA-OSMANGAZİ BLD.SPOR KLB.</v>
      </c>
      <c r="C20" s="57">
        <f>IF(A20="","",VLOOKUP(A20,'TAKIM KAYIT'!$A$6:$J$125,3,FALSE))</f>
        <v>671</v>
      </c>
      <c r="D20" s="16" t="str">
        <f>IF(ISERROR(VLOOKUP($C20,'START LİSTE'!$B$6:$F$825,2,0)),"",VLOOKUP($C20,'START LİSTE'!$B$6:$F$825,2,0))</f>
        <v>GÖKÇE KARACA</v>
      </c>
      <c r="E20" s="17" t="str">
        <f>IF(ISERROR(VLOOKUP($C20,'START LİSTE'!$B$6:$F$825,4,0)),"",VLOOKUP($C20,'START LİSTE'!$B$6:$F$825,4,0))</f>
        <v>T</v>
      </c>
      <c r="F20" s="18">
        <f>IF(ISERROR(VLOOKUP($C20,'FERDİ SONUÇ'!$B$6:$H$913,6,0)),"",VLOOKUP($C20,'FERDİ SONUÇ'!$B$6:$H$913,6,0))</f>
        <v>510</v>
      </c>
      <c r="G20" s="20">
        <f>IF(OR(E20="",F20="DQ",F20="DNF",F20="DNS",F20=""),"-",VLOOKUP(C20,'FERDİ SONUÇ'!$B$6:$H$913,7,0))</f>
        <v>7</v>
      </c>
      <c r="H20" s="22">
        <f>IF(A20="","",VLOOKUP(A20,'TAKIM KAYIT'!$A$6:$K$125,10,FALSE))</f>
        <v>28</v>
      </c>
    </row>
    <row r="21" spans="1:8" ht="14.25" customHeight="1">
      <c r="A21" s="14"/>
      <c r="B21" s="15"/>
      <c r="C21" s="57">
        <f>IF(A20="","",INDEX('TAKIM KAYIT'!$C$6:$C$125,MATCH(C20,'TAKIM KAYIT'!$C$6:$C$125,0)+1))</f>
        <v>672</v>
      </c>
      <c r="D21" s="16" t="str">
        <f>IF(ISERROR(VLOOKUP($C21,'START LİSTE'!$B$6:$F$825,2,0)),"",VLOOKUP($C21,'START LİSTE'!$B$6:$F$825,2,0))</f>
        <v>İREM KOÇ</v>
      </c>
      <c r="E21" s="17" t="str">
        <f>IF(ISERROR(VLOOKUP($C21,'START LİSTE'!$B$6:$F$825,4,0)),"",VLOOKUP($C21,'START LİSTE'!$B$6:$F$825,4,0))</f>
        <v>T</v>
      </c>
      <c r="F21" s="18">
        <f>IF(ISERROR(VLOOKUP($C21,'FERDİ SONUÇ'!$B$6:$H$913,6,0)),"",VLOOKUP($C21,'FERDİ SONUÇ'!$B$6:$H$913,6,0))</f>
        <v>547</v>
      </c>
      <c r="G21" s="20">
        <f>IF(OR(E21="",F21="DQ",F21="DNF",F21="DNS",F21=""),"-",VLOOKUP(C21,'FERDİ SONUÇ'!$B$6:$H$913,7,0))</f>
        <v>35</v>
      </c>
      <c r="H21" s="21"/>
    </row>
    <row r="22" spans="1:8" ht="14.25" customHeight="1">
      <c r="A22" s="6"/>
      <c r="B22" s="7"/>
      <c r="C22" s="55">
        <f>IF(A24="","",INDEX('TAKIM KAYIT'!$C$6:$C$125,MATCH(C24,'TAKIM KAYIT'!$C$6:$C$125,0)-2))</f>
        <v>717</v>
      </c>
      <c r="D22" s="8" t="str">
        <f>IF(ISERROR(VLOOKUP($C22,'START LİSTE'!$B$6:$F$825,2,0)),"",VLOOKUP($C22,'START LİSTE'!$B$6:$F$825,2,0))</f>
        <v>ESENGÜL KILINÇ                                             </v>
      </c>
      <c r="E22" s="9" t="str">
        <f>IF(ISERROR(VLOOKUP($C22,'START LİSTE'!$B$6:$F$825,4,0)),"",VLOOKUP($C22,'START LİSTE'!$B$6:$F$825,4,0))</f>
        <v>T</v>
      </c>
      <c r="F22" s="10">
        <f>IF(ISERROR(VLOOKUP($C22,'FERDİ SONUÇ'!$B$6:$H$913,6,0)),"",VLOOKUP($C22,'FERDİ SONUÇ'!$B$6:$H$913,6,0))</f>
        <v>507</v>
      </c>
      <c r="G22" s="12">
        <f>IF(OR(E22="",F22="DQ",F22="DNF",F22="DNS",F22=""),"-",VLOOKUP(C22,'FERDİ SONUÇ'!$B$6:$H$913,7,0))</f>
        <v>6</v>
      </c>
      <c r="H22" s="13"/>
    </row>
    <row r="23" spans="1:8" ht="14.25" customHeight="1">
      <c r="A23" s="14"/>
      <c r="B23" s="15"/>
      <c r="C23" s="57">
        <f>IF(A24="","",INDEX('TAKIM KAYIT'!$C$6:$C$125,MATCH(C24,'TAKIM KAYIT'!$C$6:$C$125,0)-1))</f>
        <v>718</v>
      </c>
      <c r="D23" s="16" t="str">
        <f>IF(ISERROR(VLOOKUP($C23,'START LİSTE'!$B$6:$F$825,2,0)),"",VLOOKUP($C23,'START LİSTE'!$B$6:$F$825,2,0))</f>
        <v>SEVCAN ÇELİK                                                 </v>
      </c>
      <c r="E23" s="17" t="str">
        <f>IF(ISERROR(VLOOKUP($C23,'START LİSTE'!$B$6:$F$825,4,0)),"",VLOOKUP($C23,'START LİSTE'!$B$6:$F$825,4,0))</f>
        <v>T</v>
      </c>
      <c r="F23" s="18">
        <f>IF(ISERROR(VLOOKUP($C23,'FERDİ SONUÇ'!$B$6:$H$913,6,0)),"",VLOOKUP($C23,'FERDİ SONUÇ'!$B$6:$H$913,6,0))</f>
        <v>514</v>
      </c>
      <c r="G23" s="20">
        <f>IF(OR(E23="",F23="DQ",F23="DNF",F23="DNS",F23=""),"-",VLOOKUP(C23,'FERDİ SONUÇ'!$B$6:$H$913,7,0))</f>
        <v>11</v>
      </c>
      <c r="H23" s="21"/>
    </row>
    <row r="24" spans="1:8" ht="14.25" customHeight="1">
      <c r="A24" s="60">
        <f>IF(ISERROR(SMALL('TAKIM KAYIT'!$A$6:$A$125,5)),"",SMALL('TAKIM KAYIT'!$A$6:$A$125,5))</f>
        <v>5</v>
      </c>
      <c r="B24" s="15" t="str">
        <f>IF(A24="","",VLOOKUP(A24,'TAKIM KAYIT'!$A$6:$J$125,2,FALSE))</f>
        <v>İSTANBUL-ÜSKÜDAR SPOR KULÜBÜ</v>
      </c>
      <c r="C24" s="57">
        <f>IF(A24="","",VLOOKUP(A24,'TAKIM KAYIT'!$A$6:$J$125,3,FALSE))</f>
        <v>719</v>
      </c>
      <c r="D24" s="16" t="str">
        <f>IF(ISERROR(VLOOKUP($C24,'START LİSTE'!$B$6:$F$825,2,0)),"",VLOOKUP($C24,'START LİSTE'!$B$6:$F$825,2,0))</f>
        <v>NURCAN ÖZ                                                       </v>
      </c>
      <c r="E24" s="17" t="str">
        <f>IF(ISERROR(VLOOKUP($C24,'START LİSTE'!$B$6:$F$825,4,0)),"",VLOOKUP($C24,'START LİSTE'!$B$6:$F$825,4,0))</f>
        <v>T</v>
      </c>
      <c r="F24" s="18">
        <f>IF(ISERROR(VLOOKUP($C24,'FERDİ SONUÇ'!$B$6:$H$913,6,0)),"",VLOOKUP($C24,'FERDİ SONUÇ'!$B$6:$H$913,6,0))</f>
        <v>517</v>
      </c>
      <c r="G24" s="20">
        <f>IF(OR(E24="",F24="DQ",F24="DNF",F24="DNS",F24=""),"-",VLOOKUP(C24,'FERDİ SONUÇ'!$B$6:$H$913,7,0))</f>
        <v>14</v>
      </c>
      <c r="H24" s="22">
        <f>IF(A24="","",VLOOKUP(A24,'TAKIM KAYIT'!$A$6:$K$125,10,FALSE))</f>
        <v>31</v>
      </c>
    </row>
    <row r="25" spans="1:8" ht="14.25" customHeight="1">
      <c r="A25" s="14"/>
      <c r="B25" s="15"/>
      <c r="C25" s="57">
        <f>IF(A24="","",INDEX('TAKIM KAYIT'!$C$6:$C$125,MATCH(C24,'TAKIM KAYIT'!$C$6:$C$125,0)+1))</f>
        <v>720</v>
      </c>
      <c r="D25" s="16" t="str">
        <f>IF(ISERROR(VLOOKUP($C25,'START LİSTE'!$B$6:$F$825,2,0)),"",VLOOKUP($C25,'START LİSTE'!$B$6:$F$825,2,0))</f>
        <v>ENİSE ÇORUMLU</v>
      </c>
      <c r="E25" s="17" t="str">
        <f>IF(ISERROR(VLOOKUP($C25,'START LİSTE'!$B$6:$F$825,4,0)),"",VLOOKUP($C25,'START LİSTE'!$B$6:$F$825,4,0))</f>
        <v>T</v>
      </c>
      <c r="F25" s="18">
        <f>IF(ISERROR(VLOOKUP($C25,'FERDİ SONUÇ'!$B$6:$H$913,6,0)),"",VLOOKUP($C25,'FERDİ SONUÇ'!$B$6:$H$913,6,0))</f>
        <v>519</v>
      </c>
      <c r="G25" s="20">
        <f>IF(OR(E25="",F25="DQ",F25="DNF",F25="DNS",F25=""),"-",VLOOKUP(C25,'FERDİ SONUÇ'!$B$6:$H$913,7,0))</f>
        <v>15</v>
      </c>
      <c r="H25" s="21"/>
    </row>
    <row r="26" spans="1:8" ht="14.25" customHeight="1">
      <c r="A26" s="6"/>
      <c r="B26" s="7"/>
      <c r="C26" s="55">
        <f>IF(A28="","",INDEX('TAKIM KAYIT'!$C$6:$C$125,MATCH(C28,'TAKIM KAYIT'!$C$6:$C$125,0)-2))</f>
        <v>689</v>
      </c>
      <c r="D26" s="8" t="str">
        <f>IF(ISERROR(VLOOKUP($C26,'START LİSTE'!$B$6:$F$825,2,0)),"",VLOOKUP($C26,'START LİSTE'!$B$6:$F$825,2,0))</f>
        <v>GAYE İŞBİLİR</v>
      </c>
      <c r="E26" s="9" t="str">
        <f>IF(ISERROR(VLOOKUP($C26,'START LİSTE'!$B$6:$F$825,4,0)),"",VLOOKUP($C26,'START LİSTE'!$B$6:$F$825,4,0))</f>
        <v>T</v>
      </c>
      <c r="F26" s="10">
        <f>IF(ISERROR(VLOOKUP($C26,'FERDİ SONUÇ'!$B$6:$H$913,6,0)),"",VLOOKUP($C26,'FERDİ SONUÇ'!$B$6:$H$913,6,0))</f>
        <v>524</v>
      </c>
      <c r="G26" s="12">
        <f>IF(OR(E26="",F26="DQ",F26="DNF",F26="DNS",F26=""),"-",VLOOKUP(C26,'FERDİ SONUÇ'!$B$6:$H$913,7,0))</f>
        <v>17</v>
      </c>
      <c r="H26" s="13"/>
    </row>
    <row r="27" spans="1:8" ht="14.25" customHeight="1">
      <c r="A27" s="14"/>
      <c r="B27" s="15"/>
      <c r="C27" s="57">
        <f>IF(A28="","",INDEX('TAKIM KAYIT'!$C$6:$C$125,MATCH(C28,'TAKIM KAYIT'!$C$6:$C$125,0)-1))</f>
        <v>690</v>
      </c>
      <c r="D27" s="16" t="str">
        <f>IF(ISERROR(VLOOKUP($C27,'START LİSTE'!$B$6:$F$825,2,0)),"",VLOOKUP($C27,'START LİSTE'!$B$6:$F$825,2,0))</f>
        <v>ÖZLEM YAŞLI </v>
      </c>
      <c r="E27" s="17" t="str">
        <f>IF(ISERROR(VLOOKUP($C27,'START LİSTE'!$B$6:$F$825,4,0)),"",VLOOKUP($C27,'START LİSTE'!$B$6:$F$825,4,0))</f>
        <v>T</v>
      </c>
      <c r="F27" s="18">
        <f>IF(ISERROR(VLOOKUP($C27,'FERDİ SONUÇ'!$B$6:$H$913,6,0)),"",VLOOKUP($C27,'FERDİ SONUÇ'!$B$6:$H$913,6,0))</f>
        <v>545</v>
      </c>
      <c r="G27" s="20">
        <f>IF(OR(E27="",F27="DQ",F27="DNF",F27="DNS",F27=""),"-",VLOOKUP(C27,'FERDİ SONUÇ'!$B$6:$H$913,7,0))</f>
        <v>33</v>
      </c>
      <c r="H27" s="21"/>
    </row>
    <row r="28" spans="1:8" ht="14.25" customHeight="1">
      <c r="A28" s="60">
        <f>IF(ISERROR(SMALL('TAKIM KAYIT'!$A$6:$A$125,6)),"",SMALL('TAKIM KAYIT'!$A$6:$A$125,6))</f>
        <v>6</v>
      </c>
      <c r="B28" s="15" t="str">
        <f>IF(A28="","",VLOOKUP(A28,'TAKIM KAYIT'!$A$6:$J$125,2,FALSE))</f>
        <v>İSTANBUL- VELİBABA KTML GSK</v>
      </c>
      <c r="C28" s="57">
        <f>IF(A28="","",VLOOKUP(A28,'TAKIM KAYIT'!$A$6:$J$125,3,FALSE))</f>
        <v>691</v>
      </c>
      <c r="D28" s="16" t="str">
        <f>IF(ISERROR(VLOOKUP($C28,'START LİSTE'!$B$6:$F$825,2,0)),"",VLOOKUP($C28,'START LİSTE'!$B$6:$F$825,2,0))</f>
        <v>YAĞMUR DOĞAN</v>
      </c>
      <c r="E28" s="17" t="str">
        <f>IF(ISERROR(VLOOKUP($C28,'START LİSTE'!$B$6:$F$825,4,0)),"",VLOOKUP($C28,'START LİSTE'!$B$6:$F$825,4,0))</f>
        <v>T</v>
      </c>
      <c r="F28" s="18">
        <f>IF(ISERROR(VLOOKUP($C28,'FERDİ SONUÇ'!$B$6:$H$913,6,0)),"",VLOOKUP($C28,'FERDİ SONUÇ'!$B$6:$H$913,6,0))</f>
        <v>526</v>
      </c>
      <c r="G28" s="20">
        <f>IF(OR(E28="",F28="DQ",F28="DNF",F28="DNS",F28=""),"-",VLOOKUP(C28,'FERDİ SONUÇ'!$B$6:$H$913,7,0))</f>
        <v>19</v>
      </c>
      <c r="H28" s="22">
        <f>IF(A28="","",VLOOKUP(A28,'TAKIM KAYIT'!$A$6:$K$125,10,FALSE))</f>
        <v>59</v>
      </c>
    </row>
    <row r="29" spans="1:8" ht="14.25" customHeight="1">
      <c r="A29" s="14"/>
      <c r="B29" s="15"/>
      <c r="C29" s="57">
        <f>IF(A28="","",INDEX('TAKIM KAYIT'!$C$6:$C$125,MATCH(C28,'TAKIM KAYIT'!$C$6:$C$125,0)+1))</f>
        <v>692</v>
      </c>
      <c r="D29" s="16" t="str">
        <f>IF(ISERROR(VLOOKUP($C29,'START LİSTE'!$B$6:$F$825,2,0)),"",VLOOKUP($C29,'START LİSTE'!$B$6:$F$825,2,0))</f>
        <v>SEMANUR YAŞLI</v>
      </c>
      <c r="E29" s="17" t="str">
        <f>IF(ISERROR(VLOOKUP($C29,'START LİSTE'!$B$6:$F$825,4,0)),"",VLOOKUP($C29,'START LİSTE'!$B$6:$F$825,4,0))</f>
        <v>T</v>
      </c>
      <c r="F29" s="18">
        <f>IF(ISERROR(VLOOKUP($C29,'FERDİ SONUÇ'!$B$6:$H$913,6,0)),"",VLOOKUP($C29,'FERDİ SONUÇ'!$B$6:$H$913,6,0))</f>
        <v>531</v>
      </c>
      <c r="G29" s="20">
        <f>IF(OR(E29="",F29="DQ",F29="DNF",F29="DNS",F29=""),"-",VLOOKUP(C29,'FERDİ SONUÇ'!$B$6:$H$913,7,0))</f>
        <v>23</v>
      </c>
      <c r="H29" s="21"/>
    </row>
    <row r="30" spans="1:8" ht="14.25" customHeight="1">
      <c r="A30" s="6"/>
      <c r="B30" s="7"/>
      <c r="C30" s="55">
        <f>IF(A32="","",INDEX('TAKIM KAYIT'!$C$6:$C$125,MATCH(C32,'TAKIM KAYIT'!$C$6:$C$125,0)-2))</f>
        <v>697</v>
      </c>
      <c r="D30" s="8" t="str">
        <f>IF(ISERROR(VLOOKUP($C30,'START LİSTE'!$B$6:$F$825,2,0)),"",VLOOKUP($C30,'START LİSTE'!$B$6:$F$825,2,0))</f>
        <v>FATMA AYGÜL</v>
      </c>
      <c r="E30" s="9" t="str">
        <f>IF(ISERROR(VLOOKUP($C30,'START LİSTE'!$B$6:$F$825,4,0)),"",VLOOKUP($C30,'START LİSTE'!$B$6:$F$825,4,0))</f>
        <v>T</v>
      </c>
      <c r="F30" s="10">
        <f>IF(ISERROR(VLOOKUP($C30,'FERDİ SONUÇ'!$B$6:$H$913,6,0)),"",VLOOKUP($C30,'FERDİ SONUÇ'!$B$6:$H$913,6,0))</f>
        <v>528</v>
      </c>
      <c r="G30" s="12">
        <f>IF(OR(E30="",F30="DQ",F30="DNF",F30="DNS",F30=""),"-",VLOOKUP(C30,'FERDİ SONUÇ'!$B$6:$H$913,7,0))</f>
        <v>21</v>
      </c>
      <c r="H30" s="13"/>
    </row>
    <row r="31" spans="1:8" ht="14.25" customHeight="1">
      <c r="A31" s="14"/>
      <c r="B31" s="15"/>
      <c r="C31" s="57">
        <f>IF(A32="","",INDEX('TAKIM KAYIT'!$C$6:$C$125,MATCH(C32,'TAKIM KAYIT'!$C$6:$C$125,0)-1))</f>
        <v>698</v>
      </c>
      <c r="D31" s="16" t="str">
        <f>IF(ISERROR(VLOOKUP($C31,'START LİSTE'!$B$6:$F$825,2,0)),"",VLOOKUP($C31,'START LİSTE'!$B$6:$F$825,2,0))</f>
        <v>TUĞBA YAĞIŞAN</v>
      </c>
      <c r="E31" s="17" t="str">
        <f>IF(ISERROR(VLOOKUP($C31,'START LİSTE'!$B$6:$F$825,4,0)),"",VLOOKUP($C31,'START LİSTE'!$B$6:$F$825,4,0))</f>
        <v>T</v>
      </c>
      <c r="F31" s="18">
        <f>IF(ISERROR(VLOOKUP($C31,'FERDİ SONUÇ'!$B$6:$H$913,6,0)),"",VLOOKUP($C31,'FERDİ SONUÇ'!$B$6:$H$913,6,0))</f>
        <v>537</v>
      </c>
      <c r="G31" s="20">
        <f>IF(OR(E31="",F31="DQ",F31="DNF",F31="DNS",F31=""),"-",VLOOKUP(C31,'FERDİ SONUÇ'!$B$6:$H$913,7,0))</f>
        <v>29</v>
      </c>
      <c r="H31" s="21"/>
    </row>
    <row r="32" spans="1:8" ht="14.25" customHeight="1">
      <c r="A32" s="60">
        <f>IF(ISERROR(SMALL('TAKIM KAYIT'!$A$6:$A$125,7)),"",SMALL('TAKIM KAYIT'!$A$6:$A$125,7))</f>
        <v>7</v>
      </c>
      <c r="B32" s="15" t="str">
        <f>IF(A32="","",VLOOKUP(A32,'TAKIM KAYIT'!$A$6:$J$125,2,FALSE))</f>
        <v>İSTANBUL-MEVLANA SPOR KULÜBÜ</v>
      </c>
      <c r="C32" s="57">
        <f>IF(A32="","",VLOOKUP(A32,'TAKIM KAYIT'!$A$6:$J$125,3,FALSE))</f>
        <v>699</v>
      </c>
      <c r="D32" s="16" t="str">
        <f>IF(ISERROR(VLOOKUP($C32,'START LİSTE'!$B$6:$F$825,2,0)),"",VLOOKUP($C32,'START LİSTE'!$B$6:$F$825,2,0))</f>
        <v>EVİN DEMİR</v>
      </c>
      <c r="E32" s="17" t="str">
        <f>IF(ISERROR(VLOOKUP($C32,'START LİSTE'!$B$6:$F$825,4,0)),"",VLOOKUP($C32,'START LİSTE'!$B$6:$F$825,4,0))</f>
        <v>T</v>
      </c>
      <c r="F32" s="18">
        <f>IF(ISERROR(VLOOKUP($C32,'FERDİ SONUÇ'!$B$6:$H$913,6,0)),"",VLOOKUP($C32,'FERDİ SONUÇ'!$B$6:$H$913,6,0))</f>
        <v>527</v>
      </c>
      <c r="G32" s="20">
        <f>IF(OR(E32="",F32="DQ",F32="DNF",F32="DNS",F32=""),"-",VLOOKUP(C32,'FERDİ SONUÇ'!$B$6:$H$913,7,0))</f>
        <v>20</v>
      </c>
      <c r="H32" s="22">
        <f>IF(A32="","",VLOOKUP(A32,'TAKIM KAYIT'!$A$6:$K$125,10,FALSE))</f>
        <v>65</v>
      </c>
    </row>
    <row r="33" spans="1:8" ht="14.25" customHeight="1">
      <c r="A33" s="14"/>
      <c r="B33" s="15"/>
      <c r="C33" s="57">
        <f>IF(A32="","",INDEX('TAKIM KAYIT'!$C$6:$C$125,MATCH(C32,'TAKIM KAYIT'!$C$6:$C$125,0)+1))</f>
        <v>700</v>
      </c>
      <c r="D33" s="16" t="str">
        <f>IF(ISERROR(VLOOKUP($C33,'START LİSTE'!$B$6:$F$825,2,0)),"",VLOOKUP($C33,'START LİSTE'!$B$6:$F$825,2,0))</f>
        <v>GÜLSEVEN KILINÇ</v>
      </c>
      <c r="E33" s="17" t="str">
        <f>IF(ISERROR(VLOOKUP($C33,'START LİSTE'!$B$6:$F$825,4,0)),"",VLOOKUP($C33,'START LİSTE'!$B$6:$F$825,4,0))</f>
        <v>T</v>
      </c>
      <c r="F33" s="18">
        <f>IF(ISERROR(VLOOKUP($C33,'FERDİ SONUÇ'!$B$6:$H$913,6,0)),"",VLOOKUP($C33,'FERDİ SONUÇ'!$B$6:$H$913,6,0))</f>
        <v>532</v>
      </c>
      <c r="G33" s="20">
        <f>IF(OR(E33="",F33="DQ",F33="DNF",F33="DNS",F33=""),"-",VLOOKUP(C33,'FERDİ SONUÇ'!$B$6:$H$913,7,0))</f>
        <v>24</v>
      </c>
      <c r="H33" s="21"/>
    </row>
    <row r="34" spans="1:8" ht="14.25" customHeight="1">
      <c r="A34" s="6"/>
      <c r="B34" s="7"/>
      <c r="C34" s="55">
        <f>IF(A36="","",INDEX('TAKIM KAYIT'!$C$6:$C$125,MATCH(C36,'TAKIM KAYIT'!$C$6:$C$125,0)-2))</f>
        <v>721</v>
      </c>
      <c r="D34" s="8" t="str">
        <f>IF(ISERROR(VLOOKUP($C34,'START LİSTE'!$B$6:$F$825,2,0)),"",VLOOKUP($C34,'START LİSTE'!$B$6:$F$825,2,0))</f>
        <v>ESRA YILIN</v>
      </c>
      <c r="E34" s="9" t="str">
        <f>IF(ISERROR(VLOOKUP($C34,'START LİSTE'!$B$6:$F$825,4,0)),"",VLOOKUP($C34,'START LİSTE'!$B$6:$F$825,4,0))</f>
        <v>T</v>
      </c>
      <c r="F34" s="10">
        <f>IF(ISERROR(VLOOKUP($C34,'FERDİ SONUÇ'!$B$6:$H$913,6,0)),"",VLOOKUP($C34,'FERDİ SONUÇ'!$B$6:$H$913,6,0))</f>
        <v>526</v>
      </c>
      <c r="G34" s="12">
        <f>IF(OR(E34="",F34="DQ",F34="DNF",F34="DNS",F34=""),"-",VLOOKUP(C34,'FERDİ SONUÇ'!$B$6:$H$913,7,0))</f>
        <v>18</v>
      </c>
      <c r="H34" s="13"/>
    </row>
    <row r="35" spans="1:8" ht="14.25" customHeight="1">
      <c r="A35" s="14"/>
      <c r="B35" s="15"/>
      <c r="C35" s="57">
        <f>IF(A36="","",INDEX('TAKIM KAYIT'!$C$6:$C$125,MATCH(C36,'TAKIM KAYIT'!$C$6:$C$125,0)-1))</f>
        <v>722</v>
      </c>
      <c r="D35" s="16" t="str">
        <f>IF(ISERROR(VLOOKUP($C35,'START LİSTE'!$B$6:$F$825,2,0)),"",VLOOKUP($C35,'START LİSTE'!$B$6:$F$825,2,0))</f>
        <v>İREM USTA</v>
      </c>
      <c r="E35" s="17" t="str">
        <f>IF(ISERROR(VLOOKUP($C35,'START LİSTE'!$B$6:$F$825,4,0)),"",VLOOKUP($C35,'START LİSTE'!$B$6:$F$825,4,0))</f>
        <v>T</v>
      </c>
      <c r="F35" s="18">
        <f>IF(ISERROR(VLOOKUP($C35,'FERDİ SONUÇ'!$B$6:$H$913,6,0)),"",VLOOKUP($C35,'FERDİ SONUÇ'!$B$6:$H$913,6,0))</f>
        <v>545</v>
      </c>
      <c r="G35" s="20">
        <f>IF(OR(E35="",F35="DQ",F35="DNF",F35="DNS",F35=""),"-",VLOOKUP(C35,'FERDİ SONUÇ'!$B$6:$H$913,7,0))</f>
        <v>32</v>
      </c>
      <c r="H35" s="21"/>
    </row>
    <row r="36" spans="1:8" ht="14.25" customHeight="1">
      <c r="A36" s="60">
        <f>IF(ISERROR(SMALL('TAKIM KAYIT'!$A$6:$A$125,8)),"",SMALL('TAKIM KAYIT'!$A$6:$A$125,8))</f>
        <v>8</v>
      </c>
      <c r="B36" s="15" t="str">
        <f>IF(A36="","",VLOOKUP(A36,'TAKIM KAYIT'!$A$6:$J$125,2,FALSE))</f>
        <v>KOCAELİ- BÜYÜKŞEHİR BEL.KAĞITSPOR KULÜBÜ</v>
      </c>
      <c r="C36" s="57">
        <f>IF(A36="","",VLOOKUP(A36,'TAKIM KAYIT'!$A$6:$J$125,3,FALSE))</f>
        <v>723</v>
      </c>
      <c r="D36" s="16" t="str">
        <f>IF(ISERROR(VLOOKUP($C36,'START LİSTE'!$B$6:$F$825,2,0)),"",VLOOKUP($C36,'START LİSTE'!$B$6:$F$825,2,0))</f>
        <v>SÜMEYYE EROL</v>
      </c>
      <c r="E36" s="17" t="str">
        <f>IF(ISERROR(VLOOKUP($C36,'START LİSTE'!$B$6:$F$825,4,0)),"",VLOOKUP($C36,'START LİSTE'!$B$6:$F$825,4,0))</f>
        <v>T</v>
      </c>
      <c r="F36" s="18">
        <f>IF(ISERROR(VLOOKUP($C36,'FERDİ SONUÇ'!$B$6:$H$913,6,0)),"",VLOOKUP($C36,'FERDİ SONUÇ'!$B$6:$H$913,6,0))</f>
        <v>612</v>
      </c>
      <c r="G36" s="20">
        <f>IF(OR(E36="",F36="DQ",F36="DNF",F36="DNS",F36=""),"-",VLOOKUP(C36,'FERDİ SONUÇ'!$B$6:$H$913,7,0))</f>
        <v>56</v>
      </c>
      <c r="H36" s="22">
        <f>IF(A36="","",VLOOKUP(A36,'TAKIM KAYIT'!$A$6:$K$125,10,FALSE))</f>
        <v>90</v>
      </c>
    </row>
    <row r="37" spans="1:8" ht="14.25" customHeight="1">
      <c r="A37" s="24"/>
      <c r="B37" s="25"/>
      <c r="C37" s="59">
        <f>IF(A36="","",INDEX('TAKIM KAYIT'!$C$6:$C$125,MATCH(C36,'TAKIM KAYIT'!$C$6:$C$125,0)+1))</f>
        <v>724</v>
      </c>
      <c r="D37" s="26" t="str">
        <f>IF(ISERROR(VLOOKUP($C37,'START LİSTE'!$B$6:$F$825,2,0)),"",VLOOKUP($C37,'START LİSTE'!$B$6:$F$825,2,0))</f>
        <v>DÖNDÜ KOÇ</v>
      </c>
      <c r="E37" s="27" t="str">
        <f>IF(ISERROR(VLOOKUP($C37,'START LİSTE'!$B$6:$F$825,4,0)),"",VLOOKUP($C37,'START LİSTE'!$B$6:$F$825,4,0))</f>
        <v>T</v>
      </c>
      <c r="F37" s="28">
        <f>IF(ISERROR(VLOOKUP($C37,'FERDİ SONUÇ'!$B$6:$H$913,6,0)),"",VLOOKUP($C37,'FERDİ SONUÇ'!$B$6:$H$913,6,0))</f>
        <v>557</v>
      </c>
      <c r="G37" s="29">
        <f>IF(OR(E37="",F37="DQ",F37="DNF",F37="DNS",F37=""),"-",VLOOKUP(C37,'FERDİ SONUÇ'!$B$6:$H$913,7,0))</f>
        <v>40</v>
      </c>
      <c r="H37" s="30"/>
    </row>
    <row r="38" spans="1:8" ht="14.25" customHeight="1">
      <c r="A38" s="6"/>
      <c r="B38" s="7"/>
      <c r="C38" s="55">
        <f>IF(A40="","",INDEX('TAKIM KAYIT'!$C$6:$C$125,MATCH(C40,'TAKIM KAYIT'!$C$6:$C$125,0)-2))</f>
        <v>693</v>
      </c>
      <c r="D38" s="8" t="str">
        <f>IF(ISERROR(VLOOKUP($C38,'START LİSTE'!$B$6:$F$825,2,0)),"",VLOOKUP($C38,'START LİSTE'!$B$6:$F$825,2,0))</f>
        <v>ŞEYMANUR ÇOŞKUN</v>
      </c>
      <c r="E38" s="9" t="str">
        <f>IF(ISERROR(VLOOKUP($C38,'START LİSTE'!$B$6:$F$825,4,0)),"",VLOOKUP($C38,'START LİSTE'!$B$6:$F$825,4,0))</f>
        <v>T</v>
      </c>
      <c r="F38" s="10">
        <f>IF(ISERROR(VLOOKUP($C38,'FERDİ SONUÇ'!$B$6:$H$913,6,0)),"",VLOOKUP($C38,'FERDİ SONUÇ'!$B$6:$H$913,6,0))</f>
        <v>554</v>
      </c>
      <c r="G38" s="12">
        <f>IF(OR(E38="",F38="DQ",F38="DNF",F38="DNS",F38=""),"-",VLOOKUP(C38,'FERDİ SONUÇ'!$B$6:$H$913,7,0))</f>
        <v>39</v>
      </c>
      <c r="H38" s="13"/>
    </row>
    <row r="39" spans="1:8" ht="14.25" customHeight="1">
      <c r="A39" s="14"/>
      <c r="B39" s="15"/>
      <c r="C39" s="57">
        <f>IF(A40="","",INDEX('TAKIM KAYIT'!$C$6:$C$125,MATCH(C40,'TAKIM KAYIT'!$C$6:$C$125,0)-1))</f>
        <v>694</v>
      </c>
      <c r="D39" s="16" t="str">
        <f>IF(ISERROR(VLOOKUP($C39,'START LİSTE'!$B$6:$F$825,2,0)),"",VLOOKUP($C39,'START LİSTE'!$B$6:$F$825,2,0))</f>
        <v>MERVE  SEFA KÖYLÜ</v>
      </c>
      <c r="E39" s="17" t="str">
        <f>IF(ISERROR(VLOOKUP($C39,'START LİSTE'!$B$6:$F$825,4,0)),"",VLOOKUP($C39,'START LİSTE'!$B$6:$F$825,4,0))</f>
        <v>T</v>
      </c>
      <c r="F39" s="18">
        <f>IF(ISERROR(VLOOKUP($C39,'FERDİ SONUÇ'!$B$6:$H$913,6,0)),"",VLOOKUP($C39,'FERDİ SONUÇ'!$B$6:$H$913,6,0))</f>
        <v>536</v>
      </c>
      <c r="G39" s="20">
        <f>IF(OR(E39="",F39="DQ",F39="DNF",F39="DNS",F39=""),"-",VLOOKUP(C39,'FERDİ SONUÇ'!$B$6:$H$913,7,0))</f>
        <v>28</v>
      </c>
      <c r="H39" s="21"/>
    </row>
    <row r="40" spans="1:8" ht="14.25" customHeight="1">
      <c r="A40" s="60">
        <f>IF(ISERROR(SMALL('TAKIM KAYIT'!$A$6:$A$125,9)),"",SMALL('TAKIM KAYIT'!$A$6:$A$125,9))</f>
        <v>9</v>
      </c>
      <c r="B40" s="15" t="str">
        <f>IF(A40="","",VLOOKUP(A40,'TAKIM KAYIT'!$A$6:$J$125,2,FALSE))</f>
        <v>İSTANBUL-BEŞİKTAŞ J.K</v>
      </c>
      <c r="C40" s="57">
        <f>IF(A40="","",VLOOKUP(A40,'TAKIM KAYIT'!$A$6:$J$125,3,FALSE))</f>
        <v>695</v>
      </c>
      <c r="D40" s="16" t="str">
        <f>IF(ISERROR(VLOOKUP($C40,'START LİSTE'!$B$6:$F$825,2,0)),"",VLOOKUP($C40,'START LİSTE'!$B$6:$F$825,2,0))</f>
        <v>DERYA  GÜLDAL</v>
      </c>
      <c r="E40" s="17" t="str">
        <f>IF(ISERROR(VLOOKUP($C40,'START LİSTE'!$B$6:$F$825,4,0)),"",VLOOKUP($C40,'START LİSTE'!$B$6:$F$825,4,0))</f>
        <v>T</v>
      </c>
      <c r="F40" s="18">
        <f>IF(ISERROR(VLOOKUP($C40,'FERDİ SONUÇ'!$B$6:$H$913,6,0)),"",VLOOKUP($C40,'FERDİ SONUÇ'!$B$6:$H$913,6,0))</f>
        <v>550</v>
      </c>
      <c r="G40" s="20">
        <f>IF(OR(E40="",F40="DQ",F40="DNF",F40="DNS",F40=""),"-",VLOOKUP(C40,'FERDİ SONUÇ'!$B$6:$H$913,7,0))</f>
        <v>37</v>
      </c>
      <c r="H40" s="22">
        <f>IF(A40="","",VLOOKUP(A40,'TAKIM KAYIT'!$A$6:$K$125,10,FALSE))</f>
        <v>99</v>
      </c>
    </row>
    <row r="41" spans="1:8" ht="14.25" customHeight="1">
      <c r="A41" s="14"/>
      <c r="B41" s="15"/>
      <c r="C41" s="57">
        <f>IF(A40="","",INDEX('TAKIM KAYIT'!$C$6:$C$125,MATCH(C40,'TAKIM KAYIT'!$C$6:$C$125,0)+1))</f>
        <v>696</v>
      </c>
      <c r="D41" s="16" t="str">
        <f>IF(ISERROR(VLOOKUP($C41,'START LİSTE'!$B$6:$F$825,2,0)),"",VLOOKUP($C41,'START LİSTE'!$B$6:$F$825,2,0))</f>
        <v>DERYA TENBEL</v>
      </c>
      <c r="E41" s="17" t="str">
        <f>IF(ISERROR(VLOOKUP($C41,'START LİSTE'!$B$6:$F$825,4,0)),"",VLOOKUP($C41,'START LİSTE'!$B$6:$F$825,4,0))</f>
        <v>T</v>
      </c>
      <c r="F41" s="18">
        <f>IF(ISERROR(VLOOKUP($C41,'FERDİ SONUÇ'!$B$6:$H$913,6,0)),"",VLOOKUP($C41,'FERDİ SONUÇ'!$B$6:$H$913,6,0))</f>
        <v>546</v>
      </c>
      <c r="G41" s="20">
        <f>IF(OR(E41="",F41="DQ",F41="DNF",F41="DNS",F41=""),"-",VLOOKUP(C41,'FERDİ SONUÇ'!$B$6:$H$913,7,0))</f>
        <v>34</v>
      </c>
      <c r="H41" s="21"/>
    </row>
    <row r="42" spans="1:8" ht="14.25" customHeight="1">
      <c r="A42" s="6"/>
      <c r="B42" s="7"/>
      <c r="C42" s="55">
        <f>IF(A44="","",INDEX('TAKIM KAYIT'!$C$6:$C$125,MATCH(C44,'TAKIM KAYIT'!$C$6:$C$125,0)-2))</f>
        <v>737</v>
      </c>
      <c r="D42" s="8" t="str">
        <f>IF(ISERROR(VLOOKUP($C42,'START LİSTE'!$B$6:$F$825,2,0)),"",VLOOKUP($C42,'START LİSTE'!$B$6:$F$825,2,0))</f>
        <v>SİMGE KONAK</v>
      </c>
      <c r="E42" s="9" t="str">
        <f>IF(ISERROR(VLOOKUP($C42,'START LİSTE'!$B$6:$F$825,4,0)),"",VLOOKUP($C42,'START LİSTE'!$B$6:$F$825,4,0))</f>
        <v>T</v>
      </c>
      <c r="F42" s="10">
        <f>IF(ISERROR(VLOOKUP($C42,'FERDİ SONUÇ'!$B$6:$H$913,6,0)),"",VLOOKUP($C42,'FERDİ SONUÇ'!$B$6:$H$913,6,0))</f>
        <v>539</v>
      </c>
      <c r="G42" s="12">
        <f>IF(OR(E42="",F42="DQ",F42="DNF",F42="DNS",F42=""),"-",VLOOKUP(C42,'FERDİ SONUÇ'!$B$6:$H$913,7,0))</f>
        <v>30</v>
      </c>
      <c r="H42" s="13"/>
    </row>
    <row r="43" spans="1:8" ht="14.25" customHeight="1">
      <c r="A43" s="14"/>
      <c r="B43" s="15"/>
      <c r="C43" s="57">
        <f>IF(A44="","",INDEX('TAKIM KAYIT'!$C$6:$C$125,MATCH(C44,'TAKIM KAYIT'!$C$6:$C$125,0)-1))</f>
        <v>738</v>
      </c>
      <c r="D43" s="16" t="str">
        <f>IF(ISERROR(VLOOKUP($C43,'START LİSTE'!$B$6:$F$825,2,0)),"",VLOOKUP($C43,'START LİSTE'!$B$6:$F$825,2,0))</f>
        <v>KÜBRA KABANA</v>
      </c>
      <c r="E43" s="17" t="str">
        <f>IF(ISERROR(VLOOKUP($C43,'START LİSTE'!$B$6:$F$825,4,0)),"",VLOOKUP($C43,'START LİSTE'!$B$6:$F$825,4,0))</f>
        <v>T</v>
      </c>
      <c r="F43" s="18">
        <f>IF(ISERROR(VLOOKUP($C43,'FERDİ SONUÇ'!$B$6:$H$913,6,0)),"",VLOOKUP($C43,'FERDİ SONUÇ'!$B$6:$H$913,6,0))</f>
        <v>549</v>
      </c>
      <c r="G43" s="20">
        <f>IF(OR(E43="",F43="DQ",F43="DNF",F43="DNS",F43=""),"-",VLOOKUP(C43,'FERDİ SONUÇ'!$B$6:$H$913,7,0))</f>
        <v>36</v>
      </c>
      <c r="H43" s="21"/>
    </row>
    <row r="44" spans="1:8" ht="14.25" customHeight="1">
      <c r="A44" s="88">
        <f>IF(ISERROR(SMALL('TAKIM KAYIT'!$A$6:$A$125,10)),"",SMALL('TAKIM KAYIT'!$A$6:$A$125,10))</f>
        <v>10</v>
      </c>
      <c r="B44" s="15" t="str">
        <f>IF(A44="","",VLOOKUP(A44,'TAKIM KAYIT'!$A$6:$J$125,2,FALSE))</f>
        <v>SAKARYA BÜYÜKŞEHİR BEL.</v>
      </c>
      <c r="C44" s="57">
        <f>IF(A44="","",VLOOKUP(A44,'TAKIM KAYIT'!$A$6:$J$125,3,FALSE))</f>
        <v>739</v>
      </c>
      <c r="D44" s="16" t="str">
        <f>IF(ISERROR(VLOOKUP($C44,'START LİSTE'!$B$6:$F$825,2,0)),"",VLOOKUP($C44,'START LİSTE'!$B$6:$F$825,2,0))</f>
        <v>İLAYDA BULUT</v>
      </c>
      <c r="E44" s="17" t="str">
        <f>IF(ISERROR(VLOOKUP($C44,'START LİSTE'!$B$6:$F$825,4,0)),"",VLOOKUP($C44,'START LİSTE'!$B$6:$F$825,4,0))</f>
        <v>T</v>
      </c>
      <c r="F44" s="18">
        <f>IF(ISERROR(VLOOKUP($C44,'FERDİ SONUÇ'!$B$6:$H$913,6,0)),"",VLOOKUP($C44,'FERDİ SONUÇ'!$B$6:$H$913,6,0))</f>
        <v>611</v>
      </c>
      <c r="G44" s="20">
        <f>IF(OR(E44="",F44="DQ",F44="DNF",F44="DNS",F44=""),"-",VLOOKUP(C44,'FERDİ SONUÇ'!$B$6:$H$913,7,0))</f>
        <v>55</v>
      </c>
      <c r="H44" s="21">
        <f>IF(A44="","",VLOOKUP(A44,'TAKIM KAYIT'!$A$6:$K$125,10,FALSE))</f>
        <v>117</v>
      </c>
    </row>
    <row r="45" spans="1:8" ht="14.25" customHeight="1">
      <c r="A45" s="14"/>
      <c r="B45" s="15"/>
      <c r="C45" s="57">
        <f>IF(A44="","",INDEX('TAKIM KAYIT'!$C$6:$C$125,MATCH(C44,'TAKIM KAYIT'!$C$6:$C$125,0)+1))</f>
        <v>740</v>
      </c>
      <c r="D45" s="16" t="str">
        <f>IF(ISERROR(VLOOKUP($C45,'START LİSTE'!$B$6:$F$825,2,0)),"",VLOOKUP($C45,'START LİSTE'!$B$6:$F$825,2,0))</f>
        <v>BUSE İSKENDER</v>
      </c>
      <c r="E45" s="17" t="str">
        <f>IF(ISERROR(VLOOKUP($C45,'START LİSTE'!$B$6:$F$825,4,0)),"",VLOOKUP($C45,'START LİSTE'!$B$6:$F$825,4,0))</f>
        <v>T</v>
      </c>
      <c r="F45" s="18">
        <f>IF(ISERROR(VLOOKUP($C45,'FERDİ SONUÇ'!$B$6:$H$913,6,0)),"",VLOOKUP($C45,'FERDİ SONUÇ'!$B$6:$H$913,6,0))</f>
        <v>608</v>
      </c>
      <c r="G45" s="20">
        <f>IF(OR(E45="",F45="DQ",F45="DNF",F45="DNS",F45=""),"-",VLOOKUP(C45,'FERDİ SONUÇ'!$B$6:$H$913,7,0))</f>
        <v>51</v>
      </c>
      <c r="H45" s="21"/>
    </row>
    <row r="46" spans="1:8" ht="14.25" customHeight="1">
      <c r="A46" s="6"/>
      <c r="B46" s="7"/>
      <c r="C46" s="55">
        <f>IF(A48="","",INDEX('TAKIM KAYIT'!$C$6:$C$125,MATCH(C48,'TAKIM KAYIT'!$C$6:$C$125,0)-2))</f>
        <v>673</v>
      </c>
      <c r="D46" s="8" t="str">
        <f>IF(ISERROR(VLOOKUP($C46,'START LİSTE'!$B$6:$F$825,2,0)),"",VLOOKUP($C46,'START LİSTE'!$B$6:$F$825,2,0))</f>
        <v>SİMGE MUĞLI</v>
      </c>
      <c r="E46" s="9" t="str">
        <f>IF(ISERROR(VLOOKUP($C46,'START LİSTE'!$B$6:$F$825,4,0)),"",VLOOKUP($C46,'START LİSTE'!$B$6:$F$825,4,0))</f>
        <v>T</v>
      </c>
      <c r="F46" s="10">
        <f>IF(ISERROR(VLOOKUP($C46,'FERDİ SONUÇ'!$B$6:$H$913,6,0)),"",VLOOKUP($C46,'FERDİ SONUÇ'!$B$6:$H$913,6,0))</f>
        <v>533</v>
      </c>
      <c r="G46" s="12">
        <f>IF(OR(E46="",F46="DQ",F46="DNF",F46="DNS",F46=""),"-",VLOOKUP(C46,'FERDİ SONUÇ'!$B$6:$H$913,7,0))</f>
        <v>25</v>
      </c>
      <c r="H46" s="13"/>
    </row>
    <row r="47" spans="1:8" ht="14.25" customHeight="1">
      <c r="A47" s="14"/>
      <c r="B47" s="15"/>
      <c r="C47" s="57">
        <f>IF(A48="","",INDEX('TAKIM KAYIT'!$C$6:$C$125,MATCH(C48,'TAKIM KAYIT'!$C$6:$C$125,0)-1))</f>
        <v>674</v>
      </c>
      <c r="D47" s="16" t="str">
        <f>IF(ISERROR(VLOOKUP($C47,'START LİSTE'!$B$6:$F$825,2,0)),"",VLOOKUP($C47,'START LİSTE'!$B$6:$F$825,2,0))</f>
        <v>MERVE ARSLAN</v>
      </c>
      <c r="E47" s="17" t="str">
        <f>IF(ISERROR(VLOOKUP($C47,'START LİSTE'!$B$6:$F$825,4,0)),"",VLOOKUP($C47,'START LİSTE'!$B$6:$F$825,4,0))</f>
        <v>T</v>
      </c>
      <c r="F47" s="18">
        <f>IF(ISERROR(VLOOKUP($C47,'FERDİ SONUÇ'!$B$6:$H$913,6,0)),"",VLOOKUP($C47,'FERDİ SONUÇ'!$B$6:$H$913,6,0))</f>
        <v>559</v>
      </c>
      <c r="G47" s="20">
        <f>IF(OR(E47="",F47="DQ",F47="DNF",F47="DNS",F47=""),"-",VLOOKUP(C47,'FERDİ SONUÇ'!$B$6:$H$913,7,0))</f>
        <v>42</v>
      </c>
      <c r="H47" s="21"/>
    </row>
    <row r="48" spans="1:8" ht="14.25" customHeight="1">
      <c r="A48" s="88">
        <f>IF(ISERROR(SMALL('TAKIM KAYIT'!$A$6:$A$125,11)),"",SMALL('TAKIM KAYIT'!$A$6:$A$125,11))</f>
        <v>11</v>
      </c>
      <c r="B48" s="15" t="str">
        <f>IF(A48="","",VLOOKUP(A48,'TAKIM KAYIT'!$A$6:$J$125,2,FALSE))</f>
        <v>ÇANAKKALE BELEDİYESPOR</v>
      </c>
      <c r="C48" s="57">
        <f>IF(A48="","",VLOOKUP(A48,'TAKIM KAYIT'!$A$6:$J$125,3,FALSE))</f>
        <v>675</v>
      </c>
      <c r="D48" s="16" t="str">
        <f>IF(ISERROR(VLOOKUP($C48,'START LİSTE'!$B$6:$F$825,2,0)),"",VLOOKUP($C48,'START LİSTE'!$B$6:$F$825,2,0))</f>
        <v>ZEYNEP SANEM UZUN</v>
      </c>
      <c r="E48" s="17" t="str">
        <f>IF(ISERROR(VLOOKUP($C48,'START LİSTE'!$B$6:$F$825,4,0)),"",VLOOKUP($C48,'START LİSTE'!$B$6:$F$825,4,0))</f>
        <v>T</v>
      </c>
      <c r="F48" s="18">
        <f>IF(ISERROR(VLOOKUP($C48,'FERDİ SONUÇ'!$B$6:$H$913,6,0)),"",VLOOKUP($C48,'FERDİ SONUÇ'!$B$6:$H$913,6,0))</f>
        <v>618</v>
      </c>
      <c r="G48" s="20">
        <f>IF(OR(E48="",F48="DQ",F48="DNF",F48="DNS",F48=""),"-",VLOOKUP(C48,'FERDİ SONUÇ'!$B$6:$H$913,7,0))</f>
        <v>62</v>
      </c>
      <c r="H48" s="22">
        <f>IF(A48="","",VLOOKUP(A48,'TAKIM KAYIT'!$A$6:$K$125,10,FALSE))</f>
        <v>124</v>
      </c>
    </row>
    <row r="49" spans="1:8" ht="14.25" customHeight="1">
      <c r="A49" s="14"/>
      <c r="B49" s="15"/>
      <c r="C49" s="57">
        <f>IF(A48="","",INDEX('TAKIM KAYIT'!$C$6:$C$125,MATCH(C48,'TAKIM KAYIT'!$C$6:$C$125,0)+1))</f>
        <v>676</v>
      </c>
      <c r="D49" s="16" t="str">
        <f>IF(ISERROR(VLOOKUP($C49,'START LİSTE'!$B$6:$F$825,2,0)),"",VLOOKUP($C49,'START LİSTE'!$B$6:$F$825,2,0))</f>
        <v>BELİNAY DENİZ GÜZEL</v>
      </c>
      <c r="E49" s="17" t="str">
        <f>IF(ISERROR(VLOOKUP($C49,'START LİSTE'!$B$6:$F$825,4,0)),"",VLOOKUP($C49,'START LİSTE'!$B$6:$F$825,4,0))</f>
        <v>T</v>
      </c>
      <c r="F49" s="18">
        <f>IF(ISERROR(VLOOKUP($C49,'FERDİ SONUÇ'!$B$6:$H$913,6,0)),"",VLOOKUP($C49,'FERDİ SONUÇ'!$B$6:$H$913,6,0))</f>
        <v>612</v>
      </c>
      <c r="G49" s="20">
        <f>IF(OR(E49="",F49="DQ",F49="DNF",F49="DNS",F49=""),"-",VLOOKUP(C49,'FERDİ SONUÇ'!$B$6:$H$913,7,0))</f>
        <v>57</v>
      </c>
      <c r="H49" s="21"/>
    </row>
    <row r="50" spans="1:8" ht="14.25" customHeight="1">
      <c r="A50" s="6"/>
      <c r="B50" s="7"/>
      <c r="C50" s="55">
        <f>IF(A52="","",INDEX('TAKIM KAYIT'!$C$6:$C$125,MATCH(C52,'TAKIM KAYIT'!$C$6:$C$125,0)-2))</f>
        <v>749</v>
      </c>
      <c r="D50" s="8" t="str">
        <f>IF(ISERROR(VLOOKUP($C50,'START LİSTE'!$B$6:$F$825,2,0)),"",VLOOKUP($C50,'START LİSTE'!$B$6:$F$825,2,0))</f>
        <v>EDANUR EYÜBOĞLU</v>
      </c>
      <c r="E50" s="9" t="str">
        <f>IF(ISERROR(VLOOKUP($C50,'START LİSTE'!$B$6:$F$825,4,0)),"",VLOOKUP($C50,'START LİSTE'!$B$6:$F$825,4,0))</f>
        <v>T</v>
      </c>
      <c r="F50" s="10">
        <f>IF(ISERROR(VLOOKUP($C50,'FERDİ SONUÇ'!$B$6:$H$913,6,0)),"",VLOOKUP($C50,'FERDİ SONUÇ'!$B$6:$H$913,6,0))</f>
        <v>601</v>
      </c>
      <c r="G50" s="12">
        <f>IF(OR(E50="",F50="DQ",F50="DNF",F50="DNS",F50=""),"-",VLOOKUP(C50,'FERDİ SONUÇ'!$B$6:$H$913,7,0))</f>
        <v>44</v>
      </c>
      <c r="H50" s="13"/>
    </row>
    <row r="51" spans="1:8" ht="14.25" customHeight="1">
      <c r="A51" s="14"/>
      <c r="B51" s="15"/>
      <c r="C51" s="57">
        <f>IF(A52="","",INDEX('TAKIM KAYIT'!$C$6:$C$125,MATCH(C52,'TAKIM KAYIT'!$C$6:$C$125,0)-1))</f>
        <v>750</v>
      </c>
      <c r="D51" s="16" t="str">
        <f>IF(ISERROR(VLOOKUP($C51,'START LİSTE'!$B$6:$F$825,2,0)),"",VLOOKUP($C51,'START LİSTE'!$B$6:$F$825,2,0))</f>
        <v>SEMİHA AKSAKALLI</v>
      </c>
      <c r="E51" s="17" t="str">
        <f>IF(ISERROR(VLOOKUP($C51,'START LİSTE'!$B$6:$F$825,4,0)),"",VLOOKUP($C51,'START LİSTE'!$B$6:$F$825,4,0))</f>
        <v>T</v>
      </c>
      <c r="F51" s="18">
        <f>IF(ISERROR(VLOOKUP($C51,'FERDİ SONUÇ'!$B$6:$H$913,6,0)),"",VLOOKUP($C51,'FERDİ SONUÇ'!$B$6:$H$913,6,0))</f>
        <v>553</v>
      </c>
      <c r="G51" s="20">
        <f>IF(OR(E51="",F51="DQ",F51="DNF",F51="DNS",F51=""),"-",VLOOKUP(C51,'FERDİ SONUÇ'!$B$6:$H$913,7,0))</f>
        <v>38</v>
      </c>
      <c r="H51" s="21"/>
    </row>
    <row r="52" spans="1:8" ht="14.25" customHeight="1">
      <c r="A52" s="88">
        <f>IF(ISERROR(SMALL('TAKIM KAYIT'!$A$6:$A$125,12)),"",SMALL('TAKIM KAYIT'!$A$6:$A$125,12))</f>
        <v>12</v>
      </c>
      <c r="B52" s="15" t="str">
        <f>IF(A52="","",VLOOKUP(A52,'TAKIM KAYIT'!$A$6:$J$125,2,FALSE))</f>
        <v>YALOVA - GHSK</v>
      </c>
      <c r="C52" s="57">
        <f>IF(A52="","",VLOOKUP(A52,'TAKIM KAYIT'!$A$6:$J$125,3,FALSE))</f>
        <v>751</v>
      </c>
      <c r="D52" s="16" t="str">
        <f>IF(ISERROR(VLOOKUP($C52,'START LİSTE'!$B$6:$F$825,2,0)),"",VLOOKUP($C52,'START LİSTE'!$B$6:$F$825,2,0))</f>
        <v>ŞEVVAL CENGİZ</v>
      </c>
      <c r="E52" s="17" t="str">
        <f>IF(ISERROR(VLOOKUP($C52,'START LİSTE'!$B$6:$F$825,4,0)),"",VLOOKUP($C52,'START LİSTE'!$B$6:$F$825,4,0))</f>
        <v>T</v>
      </c>
      <c r="F52" s="18">
        <f>IF(ISERROR(VLOOKUP($C52,'FERDİ SONUÇ'!$B$6:$H$913,6,0)),"",VLOOKUP($C52,'FERDİ SONUÇ'!$B$6:$H$913,6,0))</f>
        <v>615</v>
      </c>
      <c r="G52" s="20">
        <f>IF(OR(E52="",F52="DQ",F52="DNF",F52="DNS",F52=""),"-",VLOOKUP(C52,'FERDİ SONUÇ'!$B$6:$H$913,7,0))</f>
        <v>61</v>
      </c>
      <c r="H52" s="22">
        <f>IF(A52="","",VLOOKUP(A52,'TAKIM KAYIT'!$A$6:$K$125,10,FALSE))</f>
        <v>130</v>
      </c>
    </row>
    <row r="53" spans="1:8" ht="14.25" customHeight="1">
      <c r="A53" s="14"/>
      <c r="B53" s="15"/>
      <c r="C53" s="57">
        <f>IF(A52="","",INDEX('TAKIM KAYIT'!$C$6:$C$125,MATCH(C52,'TAKIM KAYIT'!$C$6:$C$125,0)+1))</f>
        <v>752</v>
      </c>
      <c r="D53" s="16" t="str">
        <f>IF(ISERROR(VLOOKUP($C53,'START LİSTE'!$B$6:$F$825,2,0)),"",VLOOKUP($C53,'START LİSTE'!$B$6:$F$825,2,0))</f>
        <v>NEVAL İSRA KURT</v>
      </c>
      <c r="E53" s="17" t="str">
        <f>IF(ISERROR(VLOOKUP($C53,'START LİSTE'!$B$6:$F$825,4,0)),"",VLOOKUP($C53,'START LİSTE'!$B$6:$F$825,4,0))</f>
        <v>T</v>
      </c>
      <c r="F53" s="18">
        <f>IF(ISERROR(VLOOKUP($C53,'FERDİ SONUÇ'!$B$6:$H$913,6,0)),"",VLOOKUP($C53,'FERDİ SONUÇ'!$B$6:$H$913,6,0))</f>
        <v>606</v>
      </c>
      <c r="G53" s="20">
        <f>IF(OR(E53="",F53="DQ",F53="DNF",F53="DNS",F53=""),"-",VLOOKUP(C53,'FERDİ SONUÇ'!$B$6:$H$913,7,0))</f>
        <v>48</v>
      </c>
      <c r="H53" s="21"/>
    </row>
    <row r="54" spans="1:8" ht="14.25" customHeight="1">
      <c r="A54" s="6"/>
      <c r="B54" s="7"/>
      <c r="C54" s="55">
        <f>IF(A56="","",INDEX('TAKIM KAYIT'!$C$6:$C$125,MATCH(C56,'TAKIM KAYIT'!$C$6:$C$125,0)-2))</f>
        <v>745</v>
      </c>
      <c r="D54" s="8" t="str">
        <f>IF(ISERROR(VLOOKUP($C54,'START LİSTE'!$B$6:$F$825,2,0)),"",VLOOKUP($C54,'START LİSTE'!$B$6:$F$825,2,0))</f>
        <v>MİRAY YAREN YILDIRAN</v>
      </c>
      <c r="E54" s="9" t="str">
        <f>IF(ISERROR(VLOOKUP($C54,'START LİSTE'!$B$6:$F$825,4,0)),"",VLOOKUP($C54,'START LİSTE'!$B$6:$F$825,4,0))</f>
        <v>T</v>
      </c>
      <c r="F54" s="10">
        <f>IF(ISERROR(VLOOKUP($C54,'FERDİ SONUÇ'!$B$6:$H$913,6,0)),"",VLOOKUP($C54,'FERDİ SONUÇ'!$B$6:$H$913,6,0))</f>
        <v>558</v>
      </c>
      <c r="G54" s="12">
        <f>IF(OR(E54="",F54="DQ",F54="DNF",F54="DNS",F54=""),"-",VLOOKUP(C54,'FERDİ SONUÇ'!$B$6:$H$913,7,0))</f>
        <v>41</v>
      </c>
      <c r="H54" s="13"/>
    </row>
    <row r="55" spans="1:8" ht="14.25" customHeight="1">
      <c r="A55" s="14"/>
      <c r="B55" s="15"/>
      <c r="C55" s="57">
        <f>IF(A56="","",INDEX('TAKIM KAYIT'!$C$6:$C$125,MATCH(C56,'TAKIM KAYIT'!$C$6:$C$125,0)-1))</f>
        <v>746</v>
      </c>
      <c r="D55" s="16" t="str">
        <f>IF(ISERROR(VLOOKUP($C55,'START LİSTE'!$B$6:$F$825,2,0)),"",VLOOKUP($C55,'START LİSTE'!$B$6:$F$825,2,0))</f>
        <v>EYMEN MUSAOĞLU</v>
      </c>
      <c r="E55" s="17" t="str">
        <f>IF(ISERROR(VLOOKUP($C55,'START LİSTE'!$B$6:$F$825,4,0)),"",VLOOKUP($C55,'START LİSTE'!$B$6:$F$825,4,0))</f>
        <v>T</v>
      </c>
      <c r="F55" s="18">
        <f>IF(ISERROR(VLOOKUP($C55,'FERDİ SONUÇ'!$B$6:$H$913,6,0)),"",VLOOKUP($C55,'FERDİ SONUÇ'!$B$6:$H$913,6,0))</f>
        <v>544</v>
      </c>
      <c r="G55" s="20">
        <f>IF(OR(E55="",F55="DQ",F55="DNF",F55="DNS",F55=""),"-",VLOOKUP(C55,'FERDİ SONUÇ'!$B$6:$H$913,7,0))</f>
        <v>31</v>
      </c>
      <c r="H55" s="21"/>
    </row>
    <row r="56" spans="1:8" ht="14.25" customHeight="1">
      <c r="A56" s="89">
        <f>IF(ISERROR(SMALL('TAKIM KAYIT'!$A$6:$A$125,13)),"",SMALL('TAKIM KAYIT'!$A$6:$A$125,13))</f>
        <v>13</v>
      </c>
      <c r="B56" s="15" t="str">
        <f>IF(A56="","",VLOOKUP(A56,'TAKIM KAYIT'!$A$6:$J$125,2,FALSE))</f>
        <v>TEKİRDAĞ-GENÇLİK HİZMETLERİ KARMASI</v>
      </c>
      <c r="C56" s="57">
        <f>IF(A56="","",VLOOKUP(A56,'TAKIM KAYIT'!$A$6:$J$125,3,FALSE))</f>
        <v>747</v>
      </c>
      <c r="D56" s="16" t="str">
        <f>IF(ISERROR(VLOOKUP($C56,'START LİSTE'!$B$6:$F$825,2,0)),"",VLOOKUP($C56,'START LİSTE'!$B$6:$F$825,2,0))</f>
        <v>BÜŞRA ÇOBAN</v>
      </c>
      <c r="E56" s="17" t="str">
        <f>IF(ISERROR(VLOOKUP($C56,'START LİSTE'!$B$6:$F$825,4,0)),"",VLOOKUP($C56,'START LİSTE'!$B$6:$F$825,4,0))</f>
        <v>T</v>
      </c>
      <c r="F56" s="18">
        <f>IF(ISERROR(VLOOKUP($C56,'FERDİ SONUÇ'!$B$6:$H$913,6,0)),"",VLOOKUP($C56,'FERDİ SONUÇ'!$B$6:$H$913,6,0))</f>
        <v>636</v>
      </c>
      <c r="G56" s="20">
        <f>IF(OR(E56="",F56="DQ",F56="DNF",F56="DNS",F56=""),"-",VLOOKUP(C56,'FERDİ SONUÇ'!$B$6:$H$913,7,0))</f>
        <v>63</v>
      </c>
      <c r="H56" s="22">
        <f>IF(A56="","",VLOOKUP(A56,'TAKIM KAYIT'!$A$6:$K$125,10,FALSE))</f>
        <v>135</v>
      </c>
    </row>
    <row r="57" spans="1:8" ht="14.25" customHeight="1">
      <c r="A57" s="14"/>
      <c r="B57" s="15"/>
      <c r="C57" s="57">
        <f>IF(A56="","",INDEX('TAKIM KAYIT'!$C$6:$C$125,MATCH(C56,'TAKIM KAYIT'!$C$6:$C$125,0)+1))</f>
        <v>748</v>
      </c>
      <c r="D57" s="16" t="str">
        <f>IF(ISERROR(VLOOKUP($C57,'START LİSTE'!$B$6:$F$825,2,0)),"",VLOOKUP($C57,'START LİSTE'!$B$6:$F$825,2,0))</f>
        <v>İREM HACIFAZLIOĞLU</v>
      </c>
      <c r="E57" s="17" t="str">
        <f>IF(ISERROR(VLOOKUP($C57,'START LİSTE'!$B$6:$F$825,4,0)),"",VLOOKUP($C57,'START LİSTE'!$B$6:$F$825,4,0))</f>
        <v>T</v>
      </c>
      <c r="F57" s="18">
        <f>IF(ISERROR(VLOOKUP($C57,'FERDİ SONUÇ'!$B$6:$H$913,6,0)),"",VLOOKUP($C57,'FERDİ SONUÇ'!$B$6:$H$913,6,0))</f>
        <v>638</v>
      </c>
      <c r="G57" s="20">
        <f>IF(OR(E57="",F57="DQ",F57="DNF",F57="DNS",F57=""),"-",VLOOKUP(C57,'FERDİ SONUÇ'!$B$6:$H$913,7,0))</f>
        <v>64</v>
      </c>
      <c r="H57" s="21"/>
    </row>
    <row r="58" spans="1:8" ht="14.25" customHeight="1">
      <c r="A58" s="6"/>
      <c r="B58" s="7"/>
      <c r="C58" s="55">
        <f>IF(A60="","",INDEX('TAKIM KAYIT'!$C$6:$C$125,MATCH(C60,'TAKIM KAYIT'!$C$6:$C$125,0)-2))</f>
        <v>681</v>
      </c>
      <c r="D58" s="8" t="str">
        <f>IF(ISERROR(VLOOKUP($C58,'START LİSTE'!$B$6:$F$825,2,0)),"",VLOOKUP($C58,'START LİSTE'!$B$6:$F$825,2,0))</f>
        <v>SİMAY NUR ERGİN</v>
      </c>
      <c r="E58" s="9" t="str">
        <f>IF(ISERROR(VLOOKUP($C58,'START LİSTE'!$B$6:$F$825,4,0)),"",VLOOKUP($C58,'START LİSTE'!$B$6:$F$825,4,0))</f>
        <v>T</v>
      </c>
      <c r="F58" s="10">
        <f>IF(ISERROR(VLOOKUP($C58,'FERDİ SONUÇ'!$B$6:$H$913,6,0)),"",VLOOKUP($C58,'FERDİ SONUÇ'!$B$6:$H$913,6,0))</f>
        <v>601</v>
      </c>
      <c r="G58" s="12">
        <f>IF(OR(E58="",F58="DQ",F58="DNF",F58="DNS",F58=""),"-",VLOOKUP(C58,'FERDİ SONUÇ'!$B$6:$H$913,7,0))</f>
        <v>43</v>
      </c>
      <c r="H58" s="13"/>
    </row>
    <row r="59" spans="1:8" ht="14.25" customHeight="1">
      <c r="A59" s="14"/>
      <c r="B59" s="15"/>
      <c r="C59" s="57">
        <f>IF(A60="","",INDEX('TAKIM KAYIT'!$C$6:$C$125,MATCH(C60,'TAKIM KAYIT'!$C$6:$C$125,0)-1))</f>
        <v>682</v>
      </c>
      <c r="D59" s="16" t="str">
        <f>IF(ISERROR(VLOOKUP($C59,'START LİSTE'!$B$6:$F$825,2,0)),"",VLOOKUP($C59,'START LİSTE'!$B$6:$F$825,2,0))</f>
        <v>FİLİZ SUSAMİŞLEYEN</v>
      </c>
      <c r="E59" s="17" t="str">
        <f>IF(ISERROR(VLOOKUP($C59,'START LİSTE'!$B$6:$F$825,4,0)),"",VLOOKUP($C59,'START LİSTE'!$B$6:$F$825,4,0))</f>
        <v>T</v>
      </c>
      <c r="F59" s="18">
        <f>IF(ISERROR(VLOOKUP($C59,'FERDİ SONUÇ'!$B$6:$H$913,6,0)),"",VLOOKUP($C59,'FERDİ SONUÇ'!$B$6:$H$913,6,0))</f>
        <v>604</v>
      </c>
      <c r="G59" s="20">
        <f>IF(OR(E59="",F59="DQ",F59="DNF",F59="DNS",F59=""),"-",VLOOKUP(C59,'FERDİ SONUÇ'!$B$6:$H$913,7,0))</f>
        <v>46</v>
      </c>
      <c r="H59" s="21"/>
    </row>
    <row r="60" spans="1:8" ht="14.25" customHeight="1">
      <c r="A60" s="88">
        <f>IF(ISERROR(SMALL('TAKIM KAYIT'!$A$6:$A$125,14)),"",SMALL('TAKIM KAYIT'!$A$6:$A$125,14))</f>
        <v>14</v>
      </c>
      <c r="B60" s="15" t="str">
        <f>IF(A60="","",VLOOKUP(A60,'TAKIM KAYIT'!$A$6:$J$125,2,FALSE))</f>
        <v>EDİRNE GENÇLİK SPOR KULÜBÜ</v>
      </c>
      <c r="C60" s="57">
        <f>IF(A60="","",VLOOKUP(A60,'TAKIM KAYIT'!$A$6:$J$125,3,FALSE))</f>
        <v>683</v>
      </c>
      <c r="D60" s="16" t="str">
        <f>IF(ISERROR(VLOOKUP($C60,'START LİSTE'!$B$6:$F$825,2,0)),"",VLOOKUP($C60,'START LİSTE'!$B$6:$F$825,2,0))</f>
        <v>YAĞMUR VARDAR</v>
      </c>
      <c r="E60" s="17" t="str">
        <f>IF(ISERROR(VLOOKUP($C60,'START LİSTE'!$B$6:$F$825,4,0)),"",VLOOKUP($C60,'START LİSTE'!$B$6:$F$825,4,0))</f>
        <v>T</v>
      </c>
      <c r="F60" s="18" t="str">
        <f>IF(ISERROR(VLOOKUP($C60,'FERDİ SONUÇ'!$B$6:$H$913,6,0)),"",VLOOKUP($C60,'FERDİ SONUÇ'!$B$6:$H$913,6,0))</f>
        <v>DNF</v>
      </c>
      <c r="G60" s="20" t="str">
        <f>IF(OR(E60="",F60="DQ",F60="DNF",F60="DNS",F60=""),"-",VLOOKUP(C60,'FERDİ SONUÇ'!$B$6:$H$913,7,0))</f>
        <v>-</v>
      </c>
      <c r="H60" s="22">
        <f>IF(A60="","",VLOOKUP(A60,'TAKIM KAYIT'!$A$6:$K$125,10,FALSE))</f>
        <v>158</v>
      </c>
    </row>
    <row r="61" spans="1:8" ht="14.25" customHeight="1">
      <c r="A61" s="14"/>
      <c r="B61" s="15"/>
      <c r="C61" s="57">
        <f>IF(A60="","",INDEX('TAKIM KAYIT'!$C$6:$C$125,MATCH(C60,'TAKIM KAYIT'!$C$6:$C$125,0)+1))</f>
        <v>684</v>
      </c>
      <c r="D61" s="16" t="str">
        <f>IF(ISERROR(VLOOKUP($C61,'START LİSTE'!$B$6:$F$825,2,0)),"",VLOOKUP($C61,'START LİSTE'!$B$6:$F$825,2,0))</f>
        <v>HİLAL NUR TURAN</v>
      </c>
      <c r="E61" s="17" t="str">
        <f>IF(ISERROR(VLOOKUP($C61,'START LİSTE'!$B$6:$F$825,4,0)),"",VLOOKUP($C61,'START LİSTE'!$B$6:$F$825,4,0))</f>
        <v>T</v>
      </c>
      <c r="F61" s="18">
        <f>IF(ISERROR(VLOOKUP($C61,'FERDİ SONUÇ'!$B$6:$H$913,6,0)),"",VLOOKUP($C61,'FERDİ SONUÇ'!$B$6:$H$913,6,0))</f>
        <v>742</v>
      </c>
      <c r="G61" s="20">
        <f>IF(OR(E61="",F61="DQ",F61="DNF",F61="DNS",F61=""),"-",VLOOKUP(C61,'FERDİ SONUÇ'!$B$6:$H$913,7,0))</f>
        <v>69</v>
      </c>
      <c r="H61" s="21"/>
    </row>
    <row r="62" spans="1:8" ht="14.25" customHeight="1">
      <c r="A62" s="6"/>
      <c r="B62" s="7"/>
      <c r="C62" s="55">
        <f>IF(A64="","",INDEX('TAKIM KAYIT'!$C$6:$C$125,MATCH(C64,'TAKIM KAYIT'!$C$6:$C$125,0)-2))</f>
        <v>661</v>
      </c>
      <c r="D62" s="8" t="str">
        <f>IF(ISERROR(VLOOKUP($C62,'START LİSTE'!$B$6:$F$825,2,0)),"",VLOOKUP($C62,'START LİSTE'!$B$6:$F$825,2,0))</f>
        <v>KADER KAYA</v>
      </c>
      <c r="E62" s="9" t="str">
        <f>IF(ISERROR(VLOOKUP($C62,'START LİSTE'!$B$6:$F$825,4,0)),"",VLOOKUP($C62,'START LİSTE'!$B$6:$F$825,4,0))</f>
        <v>T</v>
      </c>
      <c r="F62" s="10">
        <f>IF(ISERROR(VLOOKUP($C62,'FERDİ SONUÇ'!$B$6:$H$913,6,0)),"",VLOOKUP($C62,'FERDİ SONUÇ'!$B$6:$H$913,6,0))</f>
        <v>614</v>
      </c>
      <c r="G62" s="12">
        <f>IF(OR(E62="",F62="DQ",F62="DNF",F62="DNS",F62=""),"-",VLOOKUP(C62,'FERDİ SONUÇ'!$B$6:$H$913,7,0))</f>
        <v>58</v>
      </c>
      <c r="H62" s="13"/>
    </row>
    <row r="63" spans="1:8" ht="14.25" customHeight="1">
      <c r="A63" s="14"/>
      <c r="B63" s="15"/>
      <c r="C63" s="57">
        <f>IF(A64="","",INDEX('TAKIM KAYIT'!$C$6:$C$125,MATCH(C64,'TAKIM KAYIT'!$C$6:$C$125,0)-1))</f>
        <v>662</v>
      </c>
      <c r="D63" s="16" t="str">
        <f>IF(ISERROR(VLOOKUP($C63,'START LİSTE'!$B$6:$F$825,2,0)),"",VLOOKUP($C63,'START LİSTE'!$B$6:$F$825,2,0))</f>
        <v>ELİF ÇETİN</v>
      </c>
      <c r="E63" s="17" t="str">
        <f>IF(ISERROR(VLOOKUP($C63,'START LİSTE'!$B$6:$F$825,4,0)),"",VLOOKUP($C63,'START LİSTE'!$B$6:$F$825,4,0))</f>
        <v>T</v>
      </c>
      <c r="F63" s="18">
        <f>IF(ISERROR(VLOOKUP($C63,'FERDİ SONUÇ'!$B$6:$H$913,6,0)),"",VLOOKUP($C63,'FERDİ SONUÇ'!$B$6:$H$913,6,0))</f>
        <v>640</v>
      </c>
      <c r="G63" s="20">
        <f>IF(OR(E63="",F63="DQ",F63="DNF",F63="DNS",F63=""),"-",VLOOKUP(C63,'FERDİ SONUÇ'!$B$6:$H$913,7,0))</f>
        <v>66</v>
      </c>
      <c r="H63" s="21"/>
    </row>
    <row r="64" spans="1:8" ht="14.25" customHeight="1">
      <c r="A64" s="88">
        <f>IF(ISERROR(SMALL('TAKIM KAYIT'!$A$6:$A$125,15)),"",SMALL('TAKIM KAYIT'!$A$6:$A$125,15))</f>
        <v>15</v>
      </c>
      <c r="B64" s="15" t="str">
        <f>IF(A64="","",VLOOKUP(A64,'TAKIM KAYIT'!$A$6:$J$125,2,FALSE))</f>
        <v>BİLECİK-BOZÜYÜK ÇARŞI SPOR KULÜBÜ</v>
      </c>
      <c r="C64" s="57">
        <f>IF(A64="","",VLOOKUP(A64,'TAKIM KAYIT'!$A$6:$J$125,3,FALSE))</f>
        <v>663</v>
      </c>
      <c r="D64" s="16" t="str">
        <f>IF(ISERROR(VLOOKUP($C64,'START LİSTE'!$B$6:$F$825,2,0)),"",VLOOKUP($C64,'START LİSTE'!$B$6:$F$825,2,0))</f>
        <v>GÜLAY UZUN</v>
      </c>
      <c r="E64" s="17" t="str">
        <f>IF(ISERROR(VLOOKUP($C64,'START LİSTE'!$B$6:$F$825,4,0)),"",VLOOKUP($C64,'START LİSTE'!$B$6:$F$825,4,0))</f>
        <v>T</v>
      </c>
      <c r="F64" s="18">
        <f>IF(ISERROR(VLOOKUP($C64,'FERDİ SONUÇ'!$B$6:$H$913,6,0)),"",VLOOKUP($C64,'FERDİ SONUÇ'!$B$6:$H$913,6,0))</f>
        <v>608</v>
      </c>
      <c r="G64" s="20">
        <f>IF(OR(E64="",F64="DQ",F64="DNF",F64="DNS",F64=""),"-",VLOOKUP(C64,'FERDİ SONUÇ'!$B$6:$H$913,7,0))</f>
        <v>50</v>
      </c>
      <c r="H64" s="22">
        <f>IF(A64="","",VLOOKUP(A64,'TAKIM KAYIT'!$A$6:$K$125,10,FALSE))</f>
        <v>161</v>
      </c>
    </row>
    <row r="65" spans="1:8" ht="14.25" customHeight="1">
      <c r="A65" s="14"/>
      <c r="B65" s="15"/>
      <c r="C65" s="57">
        <f>IF(A64="","",INDEX('TAKIM KAYIT'!$C$6:$C$125,MATCH(C64,'TAKIM KAYIT'!$C$6:$C$125,0)+1))</f>
        <v>664</v>
      </c>
      <c r="D65" s="16" t="str">
        <f>IF(ISERROR(VLOOKUP($C65,'START LİSTE'!$B$6:$F$825,2,0)),"",VLOOKUP($C65,'START LİSTE'!$B$6:$F$825,2,0))</f>
        <v>ÇAĞLA TEYRAN</v>
      </c>
      <c r="E65" s="17" t="str">
        <f>IF(ISERROR(VLOOKUP($C65,'START LİSTE'!$B$6:$F$825,4,0)),"",VLOOKUP($C65,'START LİSTE'!$B$6:$F$825,4,0))</f>
        <v>T</v>
      </c>
      <c r="F65" s="18">
        <f>IF(ISERROR(VLOOKUP($C65,'FERDİ SONUÇ'!$B$6:$H$913,6,0)),"",VLOOKUP($C65,'FERDİ SONUÇ'!$B$6:$H$913,6,0))</f>
        <v>610</v>
      </c>
      <c r="G65" s="20">
        <f>IF(OR(E65="",F65="DQ",F65="DNF",F65="DNS",F65=""),"-",VLOOKUP(C65,'FERDİ SONUÇ'!$B$6:$H$913,7,0))</f>
        <v>53</v>
      </c>
      <c r="H65" s="21"/>
    </row>
    <row r="66" spans="1:8" ht="14.25" customHeight="1">
      <c r="A66" s="6"/>
      <c r="B66" s="7"/>
      <c r="C66" s="55">
        <f>IF(A68="","",INDEX('TAKIM KAYIT'!$C$6:$C$125,MATCH(C68,'TAKIM KAYIT'!$C$6:$C$125,0)-2))</f>
        <v>804</v>
      </c>
      <c r="D66" s="8" t="str">
        <f>IF(ISERROR(VLOOKUP($C66,'START LİSTE'!$B$6:$F$825,2,0)),"",VLOOKUP($C66,'START LİSTE'!$B$6:$F$825,2,0))</f>
        <v>GAMZE TUNCAY</v>
      </c>
      <c r="E66" s="9" t="str">
        <f>IF(ISERROR(VLOOKUP($C66,'START LİSTE'!$B$6:$F$825,4,0)),"",VLOOKUP($C66,'START LİSTE'!$B$6:$F$825,4,0))</f>
        <v>T</v>
      </c>
      <c r="F66" s="10">
        <f>IF(ISERROR(VLOOKUP($C66,'FERDİ SONUÇ'!$B$6:$H$913,6,0)),"",VLOOKUP($C66,'FERDİ SONUÇ'!$B$6:$H$913,6,0))</f>
        <v>615</v>
      </c>
      <c r="G66" s="12">
        <f>IF(OR(E66="",F66="DQ",F66="DNF",F66="DNS",F66=""),"-",VLOOKUP(C66,'FERDİ SONUÇ'!$B$6:$H$913,7,0))</f>
        <v>60</v>
      </c>
      <c r="H66" s="13"/>
    </row>
    <row r="67" spans="1:8" ht="14.25" customHeight="1">
      <c r="A67" s="14"/>
      <c r="B67" s="15"/>
      <c r="C67" s="57">
        <f>IF(A68="","",INDEX('TAKIM KAYIT'!$C$6:$C$125,MATCH(C68,'TAKIM KAYIT'!$C$6:$C$125,0)-1))</f>
        <v>805</v>
      </c>
      <c r="D67" s="16" t="str">
        <f>IF(ISERROR(VLOOKUP($C67,'START LİSTE'!$B$6:$F$825,2,0)),"",VLOOKUP($C67,'START LİSTE'!$B$6:$F$825,2,0))</f>
        <v>AYŞE KILIÇ</v>
      </c>
      <c r="E67" s="17" t="str">
        <f>IF(ISERROR(VLOOKUP($C67,'START LİSTE'!$B$6:$F$825,4,0)),"",VLOOKUP($C67,'START LİSTE'!$B$6:$F$825,4,0))</f>
        <v>T</v>
      </c>
      <c r="F67" s="18">
        <f>IF(ISERROR(VLOOKUP($C67,'FERDİ SONUÇ'!$B$6:$H$913,6,0)),"",VLOOKUP($C67,'FERDİ SONUÇ'!$B$6:$H$913,6,0))</f>
        <v>611</v>
      </c>
      <c r="G67" s="20">
        <f>IF(OR(E67="",F67="DQ",F67="DNF",F67="DNS",F67=""),"-",VLOOKUP(C67,'FERDİ SONUÇ'!$B$6:$H$913,7,0))</f>
        <v>54</v>
      </c>
      <c r="H67" s="21"/>
    </row>
    <row r="68" spans="1:8" ht="14.25" customHeight="1">
      <c r="A68" s="88">
        <f>IF(ISERROR(SMALL('TAKIM KAYIT'!$A$6:$A$125,16)),"",SMALL('TAKIM KAYIT'!$A$6:$A$125,16))</f>
        <v>16</v>
      </c>
      <c r="B68" s="15" t="str">
        <f>IF(A68="","",VLOOKUP(A68,'TAKIM KAYIT'!$A$6:$J$125,2,FALSE))</f>
        <v>KIRKLERELİ GENÇLİK SPOR</v>
      </c>
      <c r="C68" s="57">
        <f>IF(A68="","",VLOOKUP(A68,'TAKIM KAYIT'!$A$6:$J$125,3,FALSE))</f>
        <v>806</v>
      </c>
      <c r="D68" s="16" t="str">
        <f>IF(ISERROR(VLOOKUP($C68,'START LİSTE'!$B$6:$F$825,2,0)),"",VLOOKUP($C68,'START LİSTE'!$B$6:$F$825,2,0))</f>
        <v>HİLAL ÇAKICI</v>
      </c>
      <c r="E68" s="17" t="str">
        <f>IF(ISERROR(VLOOKUP($C68,'START LİSTE'!$B$6:$F$825,4,0)),"",VLOOKUP($C68,'START LİSTE'!$B$6:$F$825,4,0))</f>
        <v>T</v>
      </c>
      <c r="F68" s="18">
        <f>IF(ISERROR(VLOOKUP($C68,'FERDİ SONUÇ'!$B$6:$H$913,6,0)),"",VLOOKUP($C68,'FERDİ SONUÇ'!$B$6:$H$913,6,0))</f>
        <v>605</v>
      </c>
      <c r="G68" s="20">
        <f>IF(OR(E68="",F68="DQ",F68="DNF",F68="DNS",F68=""),"-",VLOOKUP(C68,'FERDİ SONUÇ'!$B$6:$H$913,7,0))</f>
        <v>47</v>
      </c>
      <c r="H68" s="22">
        <f>IF(A68="","",VLOOKUP(A68,'TAKIM KAYIT'!$A$6:$K$125,10,FALSE))</f>
        <v>161</v>
      </c>
    </row>
    <row r="69" spans="1:8" ht="14.25" customHeight="1">
      <c r="A69" s="14"/>
      <c r="B69" s="15"/>
      <c r="C69" s="57">
        <f>IF(A68="","",INDEX('TAKIM KAYIT'!$C$6:$C$125,MATCH(C68,'TAKIM KAYIT'!$C$6:$C$125,0)+1))</f>
        <v>807</v>
      </c>
      <c r="D69" s="16" t="str">
        <f>IF(ISERROR(VLOOKUP($C69,'START LİSTE'!$B$6:$F$825,2,0)),"",VLOOKUP($C69,'START LİSTE'!$B$6:$F$825,2,0))</f>
        <v>ÖZNUR ÇEVİK</v>
      </c>
      <c r="E69" s="17" t="str">
        <f>IF(ISERROR(VLOOKUP($C69,'START LİSTE'!$B$6:$F$825,4,0)),"",VLOOKUP($C69,'START LİSTE'!$B$6:$F$825,4,0))</f>
        <v>T</v>
      </c>
      <c r="F69" s="18" t="str">
        <f>IF(ISERROR(VLOOKUP($C69,'FERDİ SONUÇ'!$B$6:$H$913,6,0)),"",VLOOKUP($C69,'FERDİ SONUÇ'!$B$6:$H$913,6,0))</f>
        <v>DNF</v>
      </c>
      <c r="G69" s="20" t="str">
        <f>IF(OR(E69="",F69="DQ",F69="DNF",F69="DNS",F69=""),"-",VLOOKUP(C69,'FERDİ SONUÇ'!$B$6:$H$913,7,0))</f>
        <v>-</v>
      </c>
      <c r="H69" s="21"/>
    </row>
    <row r="70" spans="1:8" ht="14.25" customHeight="1">
      <c r="A70" s="6"/>
      <c r="B70" s="7"/>
      <c r="C70" s="55">
        <f>IF(A72="","",INDEX('TAKIM KAYIT'!$C$6:$C$125,MATCH(C72,'TAKIM KAYIT'!$C$6:$C$125,0)-2))</f>
        <v>685</v>
      </c>
      <c r="D70" s="8" t="str">
        <f>IF(ISERROR(VLOOKUP($C70,'START LİSTE'!$B$6:$F$825,2,0)),"",VLOOKUP($C70,'START LİSTE'!$B$6:$F$825,2,0))</f>
        <v>SEVGİ İME</v>
      </c>
      <c r="E70" s="9" t="str">
        <f>IF(ISERROR(VLOOKUP($C70,'START LİSTE'!$B$6:$F$825,4,0)),"",VLOOKUP($C70,'START LİSTE'!$B$6:$F$825,4,0))</f>
        <v>T</v>
      </c>
      <c r="F70" s="10">
        <f>IF(ISERROR(VLOOKUP($C70,'FERDİ SONUÇ'!$B$6:$H$913,6,0)),"",VLOOKUP($C70,'FERDİ SONUÇ'!$B$6:$H$913,6,0))</f>
        <v>609</v>
      </c>
      <c r="G70" s="12">
        <f>IF(OR(E70="",F70="DQ",F70="DNF",F70="DNS",F70=""),"-",VLOOKUP(C70,'FERDİ SONUÇ'!$B$6:$H$913,7,0))</f>
        <v>52</v>
      </c>
      <c r="H70" s="13"/>
    </row>
    <row r="71" spans="1:8" ht="14.25" customHeight="1">
      <c r="A71" s="14"/>
      <c r="B71" s="15"/>
      <c r="C71" s="57">
        <f>IF(A72="","",INDEX('TAKIM KAYIT'!$C$6:$C$125,MATCH(C72,'TAKIM KAYIT'!$C$6:$C$125,0)-1))</f>
        <v>686</v>
      </c>
      <c r="D71" s="16" t="str">
        <f>IF(ISERROR(VLOOKUP($C71,'START LİSTE'!$B$6:$F$825,2,0)),"",VLOOKUP($C71,'START LİSTE'!$B$6:$F$825,2,0))</f>
        <v>BERİVAN ÜRÜN</v>
      </c>
      <c r="E71" s="17" t="str">
        <f>IF(ISERROR(VLOOKUP($C71,'START LİSTE'!$B$6:$F$825,4,0)),"",VLOOKUP($C71,'START LİSTE'!$B$6:$F$825,4,0))</f>
        <v>T</v>
      </c>
      <c r="F71" s="18">
        <f>IF(ISERROR(VLOOKUP($C71,'FERDİ SONUÇ'!$B$6:$H$913,6,0)),"",VLOOKUP($C71,'FERDİ SONUÇ'!$B$6:$H$913,6,0))</f>
        <v>604</v>
      </c>
      <c r="G71" s="20">
        <f>IF(OR(E71="",F71="DQ",F71="DNF",F71="DNS",F71=""),"-",VLOOKUP(C71,'FERDİ SONUÇ'!$B$6:$H$913,7,0))</f>
        <v>45</v>
      </c>
      <c r="H71" s="21"/>
    </row>
    <row r="72" spans="1:8" ht="14.25" customHeight="1">
      <c r="A72" s="88">
        <f>IF(ISERROR(SMALL('TAKIM KAYIT'!$A$6:$A$125,17)),"",SMALL('TAKIM KAYIT'!$A$6:$A$125,17))</f>
        <v>17</v>
      </c>
      <c r="B72" s="15" t="str">
        <f>IF(A72="","",VLOOKUP(A72,'TAKIM KAYIT'!$A$6:$J$125,2,FALSE))</f>
        <v>İSTANBUL-ALBAYRAK SPOR</v>
      </c>
      <c r="C72" s="57">
        <f>IF(A72="","",VLOOKUP(A72,'TAKIM KAYIT'!$A$6:$J$125,3,FALSE))</f>
        <v>687</v>
      </c>
      <c r="D72" s="16" t="str">
        <f>IF(ISERROR(VLOOKUP($C72,'START LİSTE'!$B$6:$F$825,2,0)),"",VLOOKUP($C72,'START LİSTE'!$B$6:$F$825,2,0))</f>
        <v>FATMANUR AYTEPE</v>
      </c>
      <c r="E72" s="17" t="str">
        <f>IF(ISERROR(VLOOKUP($C72,'START LİSTE'!$B$6:$F$825,4,0)),"",VLOOKUP($C72,'START LİSTE'!$B$6:$F$825,4,0))</f>
        <v>T</v>
      </c>
      <c r="F72" s="18">
        <f>IF(ISERROR(VLOOKUP($C72,'FERDİ SONUÇ'!$B$6:$H$913,6,0)),"",VLOOKUP($C72,'FERDİ SONUÇ'!$B$6:$H$913,6,0))</f>
        <v>641</v>
      </c>
      <c r="G72" s="20">
        <f>IF(OR(E72="",F72="DQ",F72="DNF",F72="DNS",F72=""),"-",VLOOKUP(C72,'FERDİ SONUÇ'!$B$6:$H$913,7,0))</f>
        <v>67</v>
      </c>
      <c r="H72" s="22">
        <f>IF(A72="","",VLOOKUP(A72,'TAKIM KAYIT'!$A$6:$K$125,10,FALSE))</f>
        <v>164</v>
      </c>
    </row>
    <row r="73" spans="1:8" ht="14.25" customHeight="1">
      <c r="A73" s="14"/>
      <c r="B73" s="15"/>
      <c r="C73" s="57">
        <f>IF(A72="","",INDEX('TAKIM KAYIT'!$C$6:$C$125,MATCH(C72,'TAKIM KAYIT'!$C$6:$C$125,0)+1))</f>
        <v>688</v>
      </c>
      <c r="D73" s="16" t="str">
        <f>IF(ISERROR(VLOOKUP($C73,'START LİSTE'!$B$6:$F$825,2,0)),"",VLOOKUP($C73,'START LİSTE'!$B$6:$F$825,2,0))</f>
        <v>BEHİYE GÜNDÜZ</v>
      </c>
      <c r="E73" s="17" t="str">
        <f>IF(ISERROR(VLOOKUP($C73,'START LİSTE'!$B$6:$F$825,4,0)),"",VLOOKUP($C73,'START LİSTE'!$B$6:$F$825,4,0))</f>
        <v>T</v>
      </c>
      <c r="F73" s="18">
        <f>IF(ISERROR(VLOOKUP($C73,'FERDİ SONUÇ'!$B$6:$H$913,6,0)),"",VLOOKUP($C73,'FERDİ SONUÇ'!$B$6:$H$913,6,0))</f>
        <v>644</v>
      </c>
      <c r="G73" s="20">
        <f>IF(OR(E73="",F73="DQ",F73="DNF",F73="DNS",F73=""),"-",VLOOKUP(C73,'FERDİ SONUÇ'!$B$6:$H$913,7,0))</f>
        <v>68</v>
      </c>
      <c r="H73" s="21"/>
    </row>
    <row r="74" spans="1:8" ht="14.25" customHeight="1">
      <c r="A74" s="6"/>
      <c r="B74" s="7"/>
      <c r="C74" s="55">
        <f>IF(A76="","",INDEX('TAKIM KAYIT'!$C$6:$C$125,MATCH(C76,'TAKIM KAYIT'!$C$6:$C$125,0)-2))</f>
        <v>677</v>
      </c>
      <c r="D74" s="8" t="str">
        <f>IF(ISERROR(VLOOKUP($C74,'START LİSTE'!$B$6:$F$825,2,0)),"",VLOOKUP($C74,'START LİSTE'!$B$6:$F$825,2,0))</f>
        <v>GAMZE KAPLAN</v>
      </c>
      <c r="E74" s="9" t="str">
        <f>IF(ISERROR(VLOOKUP($C74,'START LİSTE'!$B$6:$F$825,4,0)),"",VLOOKUP($C74,'START LİSTE'!$B$6:$F$825,4,0))</f>
        <v>T</v>
      </c>
      <c r="F74" s="10">
        <f>IF(ISERROR(VLOOKUP($C74,'FERDİ SONUÇ'!$B$6:$H$913,6,0)),"",VLOOKUP($C74,'FERDİ SONUÇ'!$B$6:$H$913,6,0))</f>
        <v>614</v>
      </c>
      <c r="G74" s="12">
        <f>IF(OR(E74="",F74="DQ",F74="DNF",F74="DNS",F74=""),"-",VLOOKUP(C74,'FERDİ SONUÇ'!$B$6:$H$913,7,0))</f>
        <v>59</v>
      </c>
      <c r="H74" s="13"/>
    </row>
    <row r="75" spans="1:8" ht="14.25" customHeight="1">
      <c r="A75" s="14"/>
      <c r="B75" s="15"/>
      <c r="C75" s="57">
        <f>IF(A76="","",INDEX('TAKIM KAYIT'!$C$6:$C$125,MATCH(C76,'TAKIM KAYIT'!$C$6:$C$125,0)-1))</f>
        <v>678</v>
      </c>
      <c r="D75" s="16" t="str">
        <f>IF(ISERROR(VLOOKUP($C75,'START LİSTE'!$B$6:$F$825,2,0)),"",VLOOKUP($C75,'START LİSTE'!$B$6:$F$825,2,0))</f>
        <v>FERİHAN BESLEN</v>
      </c>
      <c r="E75" s="17" t="str">
        <f>IF(ISERROR(VLOOKUP($C75,'START LİSTE'!$B$6:$F$825,4,0)),"",VLOOKUP($C75,'START LİSTE'!$B$6:$F$825,4,0))</f>
        <v>T</v>
      </c>
      <c r="F75" s="18">
        <f>IF(ISERROR(VLOOKUP($C75,'FERDİ SONUÇ'!$B$6:$H$913,6,0)),"",VLOOKUP($C75,'FERDİ SONUÇ'!$B$6:$H$913,6,0))</f>
        <v>607</v>
      </c>
      <c r="G75" s="20">
        <f>IF(OR(E75="",F75="DQ",F75="DNF",F75="DNS",F75=""),"-",VLOOKUP(C75,'FERDİ SONUÇ'!$B$6:$H$913,7,0))</f>
        <v>49</v>
      </c>
      <c r="H75" s="21"/>
    </row>
    <row r="76" spans="1:8" ht="14.25" customHeight="1">
      <c r="A76" s="88">
        <f>IF(ISERROR(SMALL('TAKIM KAYIT'!$A$6:$A$125,18)),"",SMALL('TAKIM KAYIT'!$A$6:$A$125,18))</f>
        <v>18</v>
      </c>
      <c r="B76" s="15" t="str">
        <f>IF(A76="","",VLOOKUP(A76,'TAKIM KAYIT'!$A$6:$J$125,2,FALSE))</f>
        <v>ÇANAKKALE/ ÇİÇEKLİDEDE SPOR</v>
      </c>
      <c r="C76" s="57">
        <f>IF(A76="","",VLOOKUP(A76,'TAKIM KAYIT'!$A$6:$J$125,3,FALSE))</f>
        <v>679</v>
      </c>
      <c r="D76" s="16" t="str">
        <f>IF(ISERROR(VLOOKUP($C76,'START LİSTE'!$B$6:$F$825,2,0)),"",VLOOKUP($C76,'START LİSTE'!$B$6:$F$825,2,0))</f>
        <v>BÜŞRA AKBAŞ</v>
      </c>
      <c r="E76" s="17" t="str">
        <f>IF(ISERROR(VLOOKUP($C76,'START LİSTE'!$B$6:$F$825,4,0)),"",VLOOKUP($C76,'START LİSTE'!$B$6:$F$825,4,0))</f>
        <v>T</v>
      </c>
      <c r="F76" s="18">
        <f>IF(ISERROR(VLOOKUP($C76,'FERDİ SONUÇ'!$B$6:$H$913,6,0)),"",VLOOKUP($C76,'FERDİ SONUÇ'!$B$6:$H$913,6,0))</f>
        <v>638</v>
      </c>
      <c r="G76" s="20">
        <f>IF(OR(E76="",F76="DQ",F76="DNF",F76="DNS",F76=""),"-",VLOOKUP(C76,'FERDİ SONUÇ'!$B$6:$H$913,7,0))</f>
        <v>65</v>
      </c>
      <c r="H76" s="22">
        <f>IF(A76="","",VLOOKUP(A76,'TAKIM KAYIT'!$A$6:$K$125,10,FALSE))</f>
        <v>173</v>
      </c>
    </row>
    <row r="77" spans="1:8" ht="14.25" customHeight="1">
      <c r="A77" s="24"/>
      <c r="B77" s="25"/>
      <c r="C77" s="59" t="str">
        <f>IF(A76="","",INDEX('TAKIM KAYIT'!$C$6:$C$125,MATCH(C76,'TAKIM KAYIT'!$C$6:$C$125,0)+1))</f>
        <v>-</v>
      </c>
      <c r="D77" s="26" t="str">
        <f>IF(ISERROR(VLOOKUP($C77,'START LİSTE'!$B$6:$F$825,2,0)),"",VLOOKUP($C77,'START LİSTE'!$B$6:$F$825,2,0))</f>
        <v>-</v>
      </c>
      <c r="E77" s="27" t="str">
        <f>IF(ISERROR(VLOOKUP($C77,'START LİSTE'!$B$6:$F$825,4,0)),"",VLOOKUP($C77,'START LİSTE'!$B$6:$F$825,4,0))</f>
        <v>T</v>
      </c>
      <c r="F77" s="28">
        <f>IF(ISERROR(VLOOKUP($C77,'FERDİ SONUÇ'!$B$6:$H$913,6,0)),"",VLOOKUP($C77,'FERDİ SONUÇ'!$B$6:$H$913,6,0))</f>
      </c>
      <c r="G77" s="29" t="str">
        <f>IF(OR(E77="",F77="DQ",F77="DNF",F77="DNS",F77=""),"-",VLOOKUP(C77,'FERDİ SONUÇ'!$B$6:$H$913,7,0))</f>
        <v>-</v>
      </c>
      <c r="H77" s="30"/>
    </row>
    <row r="78" spans="1:8" ht="14.25" customHeight="1">
      <c r="A78" s="6"/>
      <c r="B78" s="7"/>
      <c r="C78" s="55">
        <f>IF(A80="","",INDEX('TAKIM KAYIT'!$C$6:$C$125,MATCH(C80,'TAKIM KAYIT'!$C$6:$C$125,0)-2))</f>
      </c>
      <c r="D78" s="8">
        <f>IF(ISERROR(VLOOKUP($C78,'START LİSTE'!$B$6:$F$825,2,0)),"",VLOOKUP($C78,'START LİSTE'!$B$6:$F$825,2,0))</f>
      </c>
      <c r="E78" s="9">
        <f>IF(ISERROR(VLOOKUP($C78,'START LİSTE'!$B$6:$F$825,4,0)),"",VLOOKUP($C78,'START LİSTE'!$B$6:$F$825,4,0))</f>
      </c>
      <c r="F78" s="10">
        <f>IF(ISERROR(VLOOKUP($C78,'FERDİ SONUÇ'!$B$6:$H$913,6,0)),"",VLOOKUP($C78,'FERDİ SONUÇ'!$B$6:$H$913,6,0))</f>
      </c>
      <c r="G78" s="12" t="str">
        <f>IF(OR(E78="",F78="DQ",F78="DNF",F78="DNS",F78=""),"-",VLOOKUP(C78,'FERDİ SONUÇ'!$B$6:$H$913,7,0))</f>
        <v>-</v>
      </c>
      <c r="H78" s="13"/>
    </row>
    <row r="79" spans="1:8" ht="14.25" customHeight="1">
      <c r="A79" s="14"/>
      <c r="B79" s="15"/>
      <c r="C79" s="57">
        <f>IF(A80="","",INDEX('TAKIM KAYIT'!$C$6:$C$125,MATCH(C80,'TAKIM KAYIT'!$C$6:$C$125,0)-1))</f>
      </c>
      <c r="D79" s="16">
        <f>IF(ISERROR(VLOOKUP($C79,'START LİSTE'!$B$6:$F$825,2,0)),"",VLOOKUP($C79,'START LİSTE'!$B$6:$F$825,2,0))</f>
      </c>
      <c r="E79" s="17">
        <f>IF(ISERROR(VLOOKUP($C79,'START LİSTE'!$B$6:$F$825,4,0)),"",VLOOKUP($C79,'START LİSTE'!$B$6:$F$825,4,0))</f>
      </c>
      <c r="F79" s="18">
        <f>IF(ISERROR(VLOOKUP($C79,'FERDİ SONUÇ'!$B$6:$H$913,6,0)),"",VLOOKUP($C79,'FERDİ SONUÇ'!$B$6:$H$913,6,0))</f>
      </c>
      <c r="G79" s="20" t="str">
        <f>IF(OR(E79="",F79="DQ",F79="DNF",F79="DNS",F79=""),"-",VLOOKUP(C79,'FERDİ SONUÇ'!$B$6:$H$913,7,0))</f>
        <v>-</v>
      </c>
      <c r="H79" s="21"/>
    </row>
    <row r="80" spans="1:8" ht="14.25" customHeight="1">
      <c r="A80" s="88">
        <f>IF(ISERROR(SMALL('TAKIM KAYIT'!$A$6:$A$125,19)),"",SMALL('TAKIM KAYIT'!$A$6:$A$125,19))</f>
      </c>
      <c r="B80" s="15">
        <f>IF(A80="","",VLOOKUP(A80,'TAKIM KAYIT'!$A$6:$J$125,2,FALSE))</f>
      </c>
      <c r="C80" s="57">
        <f>IF(A80="","",VLOOKUP(A80,'TAKIM KAYIT'!$A$6:$J$125,3,FALSE))</f>
      </c>
      <c r="D80" s="16">
        <f>IF(ISERROR(VLOOKUP($C80,'START LİSTE'!$B$6:$F$825,2,0)),"",VLOOKUP($C80,'START LİSTE'!$B$6:$F$825,2,0))</f>
      </c>
      <c r="E80" s="17">
        <f>IF(ISERROR(VLOOKUP($C80,'START LİSTE'!$B$6:$F$825,4,0)),"",VLOOKUP($C80,'START LİSTE'!$B$6:$F$825,4,0))</f>
      </c>
      <c r="F80" s="18">
        <f>IF(ISERROR(VLOOKUP($C80,'FERDİ SONUÇ'!$B$6:$H$913,6,0)),"",VLOOKUP($C80,'FERDİ SONUÇ'!$B$6:$H$913,6,0))</f>
      </c>
      <c r="G80" s="20" t="str">
        <f>IF(OR(E80="",F80="DQ",F80="DNF",F80="DNS",F80=""),"-",VLOOKUP(C80,'FERDİ SONUÇ'!$B$6:$H$913,7,0))</f>
        <v>-</v>
      </c>
      <c r="H80" s="22">
        <f>IF(A80="","",VLOOKUP(A80,'TAKIM KAYIT'!$A$6:$K$125,10,FALSE))</f>
      </c>
    </row>
    <row r="81" spans="1:8" ht="14.25" customHeight="1">
      <c r="A81" s="14"/>
      <c r="B81" s="15"/>
      <c r="C81" s="57">
        <f>IF(A80="","",INDEX('TAKIM KAYIT'!$C$6:$C$125,MATCH(C80,'TAKIM KAYIT'!$C$6:$C$125,0)+1))</f>
      </c>
      <c r="D81" s="16">
        <f>IF(ISERROR(VLOOKUP($C81,'START LİSTE'!$B$6:$F$825,2,0)),"",VLOOKUP($C81,'START LİSTE'!$B$6:$F$825,2,0))</f>
      </c>
      <c r="E81" s="17">
        <f>IF(ISERROR(VLOOKUP($C81,'START LİSTE'!$B$6:$F$825,4,0)),"",VLOOKUP($C81,'START LİSTE'!$B$6:$F$825,4,0))</f>
      </c>
      <c r="F81" s="18">
        <f>IF(ISERROR(VLOOKUP($C81,'FERDİ SONUÇ'!$B$6:$H$913,6,0)),"",VLOOKUP($C81,'FERDİ SONUÇ'!$B$6:$H$913,6,0))</f>
      </c>
      <c r="G81" s="20" t="str">
        <f>IF(OR(E81="",F81="DQ",F81="DNF",F81="DNS",F81=""),"-",VLOOKUP(C81,'FERDİ SONUÇ'!$B$6:$H$913,7,0))</f>
        <v>-</v>
      </c>
      <c r="H81" s="21"/>
    </row>
    <row r="82" spans="1:8" ht="14.25" customHeight="1">
      <c r="A82" s="6"/>
      <c r="B82" s="7"/>
      <c r="C82" s="55">
        <f>IF(A84="","",INDEX('TAKIM KAYIT'!$C$6:$C$125,MATCH(C84,'TAKIM KAYIT'!$C$6:$C$125,0)-2))</f>
      </c>
      <c r="D82" s="8">
        <f>IF(ISERROR(VLOOKUP($C82,'START LİSTE'!$B$6:$F$825,2,0)),"",VLOOKUP($C82,'START LİSTE'!$B$6:$F$825,2,0))</f>
      </c>
      <c r="E82" s="9">
        <f>IF(ISERROR(VLOOKUP($C82,'START LİSTE'!$B$6:$F$825,4,0)),"",VLOOKUP($C82,'START LİSTE'!$B$6:$F$825,4,0))</f>
      </c>
      <c r="F82" s="10">
        <f>IF(ISERROR(VLOOKUP($C82,'FERDİ SONUÇ'!$B$6:$H$913,6,0)),"",VLOOKUP($C82,'FERDİ SONUÇ'!$B$6:$H$913,6,0))</f>
      </c>
      <c r="G82" s="12" t="str">
        <f>IF(OR(E82="",F82="DQ",F82="DNF",F82="DNS",F82=""),"-",VLOOKUP(C82,'FERDİ SONUÇ'!$B$6:$H$913,7,0))</f>
        <v>-</v>
      </c>
      <c r="H82" s="13"/>
    </row>
    <row r="83" spans="1:8" ht="14.25" customHeight="1">
      <c r="A83" s="14"/>
      <c r="B83" s="15"/>
      <c r="C83" s="57">
        <f>IF(A84="","",INDEX('TAKIM KAYIT'!$C$6:$C$125,MATCH(C84,'TAKIM KAYIT'!$C$6:$C$125,0)-1))</f>
      </c>
      <c r="D83" s="16">
        <f>IF(ISERROR(VLOOKUP($C83,'START LİSTE'!$B$6:$F$825,2,0)),"",VLOOKUP($C83,'START LİSTE'!$B$6:$F$825,2,0))</f>
      </c>
      <c r="E83" s="17">
        <f>IF(ISERROR(VLOOKUP($C83,'START LİSTE'!$B$6:$F$825,4,0)),"",VLOOKUP($C83,'START LİSTE'!$B$6:$F$825,4,0))</f>
      </c>
      <c r="F83" s="18">
        <f>IF(ISERROR(VLOOKUP($C83,'FERDİ SONUÇ'!$B$6:$H$913,6,0)),"",VLOOKUP($C83,'FERDİ SONUÇ'!$B$6:$H$913,6,0))</f>
      </c>
      <c r="G83" s="20" t="str">
        <f>IF(OR(E83="",F83="DQ",F83="DNF",F83="DNS",F83=""),"-",VLOOKUP(C83,'FERDİ SONUÇ'!$B$6:$H$913,7,0))</f>
        <v>-</v>
      </c>
      <c r="H83" s="21"/>
    </row>
    <row r="84" spans="1:8" ht="14.25" customHeight="1">
      <c r="A84" s="90">
        <f>IF(ISERROR(SMALL('TAKIM KAYIT'!$A$6:$A$125,20)),"",SMALL('TAKIM KAYIT'!$A$6:$A$125,20))</f>
      </c>
      <c r="B84" s="15">
        <f>IF(A84="","",VLOOKUP(A84,'TAKIM KAYIT'!$A$6:$J$125,2,FALSE))</f>
      </c>
      <c r="C84" s="57">
        <f>IF(A84="","",VLOOKUP(A84,'TAKIM KAYIT'!$A$6:$J$125,3,FALSE))</f>
      </c>
      <c r="D84" s="16">
        <f>IF(ISERROR(VLOOKUP($C84,'START LİSTE'!$B$6:$F$825,2,0)),"",VLOOKUP($C84,'START LİSTE'!$B$6:$F$825,2,0))</f>
      </c>
      <c r="E84" s="17">
        <f>IF(ISERROR(VLOOKUP($C84,'START LİSTE'!$B$6:$F$825,4,0)),"",VLOOKUP($C84,'START LİSTE'!$B$6:$F$825,4,0))</f>
      </c>
      <c r="F84" s="18">
        <f>IF(ISERROR(VLOOKUP($C84,'FERDİ SONUÇ'!$B$6:$H$913,6,0)),"",VLOOKUP($C84,'FERDİ SONUÇ'!$B$6:$H$913,6,0))</f>
      </c>
      <c r="G84" s="20" t="str">
        <f>IF(OR(E84="",F84="DQ",F84="DNF",F84="DNS",F84=""),"-",VLOOKUP(C84,'FERDİ SONUÇ'!$B$6:$H$913,7,0))</f>
        <v>-</v>
      </c>
      <c r="H84" s="22">
        <f>IF(A84="","",VLOOKUP(A84,'TAKIM KAYIT'!$A$6:$K$125,10,FALSE))</f>
      </c>
    </row>
    <row r="85" spans="1:8" ht="14.25" customHeight="1">
      <c r="A85" s="14"/>
      <c r="B85" s="15"/>
      <c r="C85" s="57">
        <f>IF(A84="","",INDEX('TAKIM KAYIT'!$C$6:$C$125,MATCH(C84,'TAKIM KAYIT'!$C$6:$C$125,0)+1))</f>
      </c>
      <c r="D85" s="16">
        <f>IF(ISERROR(VLOOKUP($C85,'START LİSTE'!$B$6:$F$825,2,0)),"",VLOOKUP($C85,'START LİSTE'!$B$6:$F$825,2,0))</f>
      </c>
      <c r="E85" s="17">
        <f>IF(ISERROR(VLOOKUP($C85,'START LİSTE'!$B$6:$F$825,4,0)),"",VLOOKUP($C85,'START LİSTE'!$B$6:$F$825,4,0))</f>
      </c>
      <c r="F85" s="18">
        <f>IF(ISERROR(VLOOKUP($C85,'FERDİ SONUÇ'!$B$6:$H$913,6,0)),"",VLOOKUP($C85,'FERDİ SONUÇ'!$B$6:$H$913,6,0))</f>
      </c>
      <c r="G85" s="20" t="str">
        <f>IF(OR(E85="",F85="DQ",F85="DNF",F85="DNS",F85=""),"-",VLOOKUP(C85,'FERDİ SONUÇ'!$B$6:$H$913,7,0))</f>
        <v>-</v>
      </c>
      <c r="H85" s="21"/>
    </row>
    <row r="86" spans="1:8" ht="14.25" customHeight="1">
      <c r="A86" s="6"/>
      <c r="B86" s="7"/>
      <c r="C86" s="55">
        <f>IF(A88="","",INDEX('TAKIM KAYIT'!$C$6:$C$125,MATCH(C88,'TAKIM KAYIT'!$C$6:$C$125,0)-2))</f>
      </c>
      <c r="D86" s="8">
        <f>IF(ISERROR(VLOOKUP($C86,'START LİSTE'!$B$6:$F$825,2,0)),"",VLOOKUP($C86,'START LİSTE'!$B$6:$F$825,2,0))</f>
      </c>
      <c r="E86" s="9">
        <f>IF(ISERROR(VLOOKUP($C86,'START LİSTE'!$B$6:$F$825,4,0)),"",VLOOKUP($C86,'START LİSTE'!$B$6:$F$825,4,0))</f>
      </c>
      <c r="F86" s="10">
        <f>IF(ISERROR(VLOOKUP($C86,'FERDİ SONUÇ'!$B$6:$H$913,6,0)),"",VLOOKUP($C86,'FERDİ SONUÇ'!$B$6:$H$913,6,0))</f>
      </c>
      <c r="G86" s="12" t="str">
        <f>IF(OR(E86="",F86="DQ",F86="DNF",F86="DNS",F86=""),"-",VLOOKUP(C86,'FERDİ SONUÇ'!$B$6:$H$913,7,0))</f>
        <v>-</v>
      </c>
      <c r="H86" s="13"/>
    </row>
    <row r="87" spans="1:8" ht="14.25" customHeight="1">
      <c r="A87" s="14"/>
      <c r="B87" s="15"/>
      <c r="C87" s="57">
        <f>IF(A88="","",INDEX('TAKIM KAYIT'!$C$6:$C$125,MATCH(C88,'TAKIM KAYIT'!$C$6:$C$125,0)-1))</f>
      </c>
      <c r="D87" s="16">
        <f>IF(ISERROR(VLOOKUP($C87,'START LİSTE'!$B$6:$F$825,2,0)),"",VLOOKUP($C87,'START LİSTE'!$B$6:$F$825,2,0))</f>
      </c>
      <c r="E87" s="17">
        <f>IF(ISERROR(VLOOKUP($C87,'START LİSTE'!$B$6:$F$825,4,0)),"",VLOOKUP($C87,'START LİSTE'!$B$6:$F$825,4,0))</f>
      </c>
      <c r="F87" s="18">
        <f>IF(ISERROR(VLOOKUP($C87,'FERDİ SONUÇ'!$B$6:$H$913,6,0)),"",VLOOKUP($C87,'FERDİ SONUÇ'!$B$6:$H$913,6,0))</f>
      </c>
      <c r="G87" s="20" t="str">
        <f>IF(OR(E87="",F87="DQ",F87="DNF",F87="DNS",F87=""),"-",VLOOKUP(C87,'FERDİ SONUÇ'!$B$6:$H$913,7,0))</f>
        <v>-</v>
      </c>
      <c r="H87" s="21"/>
    </row>
    <row r="88" spans="1:8" ht="14.25" customHeight="1">
      <c r="A88" s="88">
        <f>IF(ISERROR(SMALL('TAKIM KAYIT'!$A$6:$A$125,21)),"",SMALL('TAKIM KAYIT'!$A$6:$A$125,21))</f>
      </c>
      <c r="B88" s="15">
        <f>IF(A88="","",VLOOKUP(A88,'TAKIM KAYIT'!$A$6:$J$125,2,FALSE))</f>
      </c>
      <c r="C88" s="57">
        <f>IF(A88="","",VLOOKUP(A88,'TAKIM KAYIT'!$A$6:$J$125,3,FALSE))</f>
      </c>
      <c r="D88" s="16">
        <f>IF(ISERROR(VLOOKUP($C88,'START LİSTE'!$B$6:$F$825,2,0)),"",VLOOKUP($C88,'START LİSTE'!$B$6:$F$825,2,0))</f>
      </c>
      <c r="E88" s="17">
        <f>IF(ISERROR(VLOOKUP($C88,'START LİSTE'!$B$6:$F$825,4,0)),"",VLOOKUP($C88,'START LİSTE'!$B$6:$F$825,4,0))</f>
      </c>
      <c r="F88" s="18">
        <f>IF(ISERROR(VLOOKUP($C88,'FERDİ SONUÇ'!$B$6:$H$913,6,0)),"",VLOOKUP($C88,'FERDİ SONUÇ'!$B$6:$H$913,6,0))</f>
      </c>
      <c r="G88" s="20" t="str">
        <f>IF(OR(E88="",F88="DQ",F88="DNF",F88="DNS",F88=""),"-",VLOOKUP(C88,'FERDİ SONUÇ'!$B$6:$H$913,7,0))</f>
        <v>-</v>
      </c>
      <c r="H88" s="21">
        <f>IF(A88="","",VLOOKUP(A88,'TAKIM KAYIT'!$A$6:$J$125,10,FALSE))</f>
      </c>
    </row>
    <row r="89" spans="1:8" ht="14.25" customHeight="1">
      <c r="A89" s="14"/>
      <c r="B89" s="15"/>
      <c r="C89" s="57">
        <f>IF(A88="","",INDEX('TAKIM KAYIT'!$C$6:$C$125,MATCH(C88,'TAKIM KAYIT'!$C$6:$C$125,0)+1))</f>
      </c>
      <c r="D89" s="16">
        <f>IF(ISERROR(VLOOKUP($C89,'START LİSTE'!$B$6:$F$825,2,0)),"",VLOOKUP($C89,'START LİSTE'!$B$6:$F$825,2,0))</f>
      </c>
      <c r="E89" s="17">
        <f>IF(ISERROR(VLOOKUP($C89,'START LİSTE'!$B$6:$F$825,4,0)),"",VLOOKUP($C89,'START LİSTE'!$B$6:$F$825,4,0))</f>
      </c>
      <c r="F89" s="18">
        <f>IF(ISERROR(VLOOKUP($C89,'FERDİ SONUÇ'!$B$6:$H$913,6,0)),"",VLOOKUP($C89,'FERDİ SONUÇ'!$B$6:$H$913,6,0))</f>
      </c>
      <c r="G89" s="20" t="str">
        <f>IF(OR(E89="",F89="DQ",F89="DNF",F89="DNS",F89=""),"-",VLOOKUP(C89,'FERDİ SONUÇ'!$B$6:$H$913,7,0))</f>
        <v>-</v>
      </c>
      <c r="H89" s="21"/>
    </row>
    <row r="90" spans="1:8" ht="14.25" customHeight="1">
      <c r="A90" s="6"/>
      <c r="B90" s="7"/>
      <c r="C90" s="55">
        <f>IF(A92="","",INDEX('TAKIM KAYIT'!$C$6:$C$125,MATCH(C92,'TAKIM KAYIT'!$C$6:$C$125,0)-2))</f>
      </c>
      <c r="D90" s="8">
        <f>IF(ISERROR(VLOOKUP($C90,'START LİSTE'!$B$6:$F$825,2,0)),"",VLOOKUP($C90,'START LİSTE'!$B$6:$F$825,2,0))</f>
      </c>
      <c r="E90" s="9">
        <f>IF(ISERROR(VLOOKUP($C90,'START LİSTE'!$B$6:$F$825,4,0)),"",VLOOKUP($C90,'START LİSTE'!$B$6:$F$825,4,0))</f>
      </c>
      <c r="F90" s="10">
        <f>IF(ISERROR(VLOOKUP($C90,'FERDİ SONUÇ'!$B$6:$H$913,6,0)),"",VLOOKUP($C90,'FERDİ SONUÇ'!$B$6:$H$913,6,0))</f>
      </c>
      <c r="G90" s="12" t="str">
        <f>IF(OR(E90="",F90="DQ",F90="DNF",F90="DNS",F90=""),"-",VLOOKUP(C90,'FERDİ SONUÇ'!$B$6:$H$913,7,0))</f>
        <v>-</v>
      </c>
      <c r="H90" s="13"/>
    </row>
    <row r="91" spans="1:8" ht="14.25" customHeight="1">
      <c r="A91" s="14"/>
      <c r="B91" s="15"/>
      <c r="C91" s="57">
        <f>IF(A92="","",INDEX('TAKIM KAYIT'!$C$6:$C$125,MATCH(C92,'TAKIM KAYIT'!$C$6:$C$125,0)-1))</f>
      </c>
      <c r="D91" s="16">
        <f>IF(ISERROR(VLOOKUP($C91,'START LİSTE'!$B$6:$F$825,2,0)),"",VLOOKUP($C91,'START LİSTE'!$B$6:$F$825,2,0))</f>
      </c>
      <c r="E91" s="17">
        <f>IF(ISERROR(VLOOKUP($C91,'START LİSTE'!$B$6:$F$825,4,0)),"",VLOOKUP($C91,'START LİSTE'!$B$6:$F$825,4,0))</f>
      </c>
      <c r="F91" s="18">
        <f>IF(ISERROR(VLOOKUP($C91,'FERDİ SONUÇ'!$B$6:$H$913,6,0)),"",VLOOKUP($C91,'FERDİ SONUÇ'!$B$6:$H$913,6,0))</f>
      </c>
      <c r="G91" s="20" t="str">
        <f>IF(OR(E91="",F91="DQ",F91="DNF",F91="DNS",F91=""),"-",VLOOKUP(C91,'FERDİ SONUÇ'!$B$6:$H$913,7,0))</f>
        <v>-</v>
      </c>
      <c r="H91" s="21"/>
    </row>
    <row r="92" spans="1:8" ht="14.25" customHeight="1">
      <c r="A92" s="88">
        <f>IF(ISERROR(SMALL('TAKIM KAYIT'!$A$6:$A$125,22)),"",SMALL('TAKIM KAYIT'!$A$6:$A$125,22))</f>
      </c>
      <c r="B92" s="15">
        <f>IF(A92="","",VLOOKUP(A92,'TAKIM KAYIT'!$A$6:$J$125,2,FALSE))</f>
      </c>
      <c r="C92" s="57">
        <f>IF(A92="","",VLOOKUP(A92,'TAKIM KAYIT'!$A$6:$J$125,3,FALSE))</f>
      </c>
      <c r="D92" s="16">
        <f>IF(ISERROR(VLOOKUP($C92,'START LİSTE'!$B$6:$F$825,2,0)),"",VLOOKUP($C92,'START LİSTE'!$B$6:$F$825,2,0))</f>
      </c>
      <c r="E92" s="17">
        <f>IF(ISERROR(VLOOKUP($C92,'START LİSTE'!$B$6:$F$825,4,0)),"",VLOOKUP($C92,'START LİSTE'!$B$6:$F$825,4,0))</f>
      </c>
      <c r="F92" s="18">
        <f>IF(ISERROR(VLOOKUP($C92,'FERDİ SONUÇ'!$B$6:$H$913,6,0)),"",VLOOKUP($C92,'FERDİ SONUÇ'!$B$6:$H$913,6,0))</f>
      </c>
      <c r="G92" s="20" t="str">
        <f>IF(OR(E92="",F92="DQ",F92="DNF",F92="DNS",F92=""),"-",VLOOKUP(C92,'FERDİ SONUÇ'!$B$6:$H$913,7,0))</f>
        <v>-</v>
      </c>
      <c r="H92" s="22">
        <f>IF(A92="","",VLOOKUP(A92,'TAKIM KAYIT'!$A$6:$K$125,10,FALSE))</f>
      </c>
    </row>
    <row r="93" spans="1:8" ht="14.25" customHeight="1">
      <c r="A93" s="14"/>
      <c r="B93" s="15"/>
      <c r="C93" s="57">
        <f>IF(A92="","",INDEX('TAKIM KAYIT'!$C$6:$C$125,MATCH(C92,'TAKIM KAYIT'!$C$6:$C$125,0)+1))</f>
      </c>
      <c r="D93" s="16">
        <f>IF(ISERROR(VLOOKUP($C93,'START LİSTE'!$B$6:$F$825,2,0)),"",VLOOKUP($C93,'START LİSTE'!$B$6:$F$825,2,0))</f>
      </c>
      <c r="E93" s="17">
        <f>IF(ISERROR(VLOOKUP($C93,'START LİSTE'!$B$6:$F$825,4,0)),"",VLOOKUP($C93,'START LİSTE'!$B$6:$F$825,4,0))</f>
      </c>
      <c r="F93" s="18">
        <f>IF(ISERROR(VLOOKUP($C93,'FERDİ SONUÇ'!$B$6:$H$913,6,0)),"",VLOOKUP($C93,'FERDİ SONUÇ'!$B$6:$H$913,6,0))</f>
      </c>
      <c r="G93" s="20" t="str">
        <f>IF(OR(E93="",F93="DQ",F93="DNF",F93="DNS",F93=""),"-",VLOOKUP(C93,'FERDİ SONUÇ'!$B$6:$H$913,7,0))</f>
        <v>-</v>
      </c>
      <c r="H93" s="21"/>
    </row>
    <row r="94" spans="1:8" ht="14.25" customHeight="1">
      <c r="A94" s="6"/>
      <c r="B94" s="7"/>
      <c r="C94" s="55">
        <f>IF(A96="","",INDEX('TAKIM KAYIT'!$C$6:$C$125,MATCH(C96,'TAKIM KAYIT'!$C$6:$C$125,0)-2))</f>
      </c>
      <c r="D94" s="8">
        <f>IF(ISERROR(VLOOKUP($C94,'START LİSTE'!$B$6:$F$825,2,0)),"",VLOOKUP($C94,'START LİSTE'!$B$6:$F$825,2,0))</f>
      </c>
      <c r="E94" s="9">
        <f>IF(ISERROR(VLOOKUP($C94,'START LİSTE'!$B$6:$F$825,4,0)),"",VLOOKUP($C94,'START LİSTE'!$B$6:$F$825,4,0))</f>
      </c>
      <c r="F94" s="10">
        <f>IF(ISERROR(VLOOKUP($C94,'FERDİ SONUÇ'!$B$6:$H$913,6,0)),"",VLOOKUP($C94,'FERDİ SONUÇ'!$B$6:$H$913,6,0))</f>
      </c>
      <c r="G94" s="12" t="str">
        <f>IF(OR(E94="",F94="DQ",F94="DNF",F94="DNS",F94=""),"-",VLOOKUP(C94,'FERDİ SONUÇ'!$B$6:$H$913,7,0))</f>
        <v>-</v>
      </c>
      <c r="H94" s="13"/>
    </row>
    <row r="95" spans="1:8" ht="14.25" customHeight="1">
      <c r="A95" s="14"/>
      <c r="B95" s="15"/>
      <c r="C95" s="57">
        <f>IF(A96="","",INDEX('TAKIM KAYIT'!$C$6:$C$125,MATCH(C96,'TAKIM KAYIT'!$C$6:$C$125,0)-1))</f>
      </c>
      <c r="D95" s="16">
        <f>IF(ISERROR(VLOOKUP($C95,'START LİSTE'!$B$6:$F$825,2,0)),"",VLOOKUP($C95,'START LİSTE'!$B$6:$F$825,2,0))</f>
      </c>
      <c r="E95" s="17">
        <f>IF(ISERROR(VLOOKUP($C95,'START LİSTE'!$B$6:$F$825,4,0)),"",VLOOKUP($C95,'START LİSTE'!$B$6:$F$825,4,0))</f>
      </c>
      <c r="F95" s="18">
        <f>IF(ISERROR(VLOOKUP($C95,'FERDİ SONUÇ'!$B$6:$H$913,6,0)),"",VLOOKUP($C95,'FERDİ SONUÇ'!$B$6:$H$913,6,0))</f>
      </c>
      <c r="G95" s="20" t="str">
        <f>IF(OR(E95="",F95="DQ",F95="DNF",F95="DNS",F95=""),"-",VLOOKUP(C95,'FERDİ SONUÇ'!$B$6:$H$913,7,0))</f>
        <v>-</v>
      </c>
      <c r="H95" s="21"/>
    </row>
    <row r="96" spans="1:8" ht="14.25" customHeight="1">
      <c r="A96" s="88">
        <f>IF(ISERROR(SMALL('TAKIM KAYIT'!$A$6:$A$125,23)),"",SMALL('TAKIM KAYIT'!$A$6:$A$125,23))</f>
      </c>
      <c r="B96" s="15">
        <f>IF(A96="","",VLOOKUP(A96,'TAKIM KAYIT'!$A$6:$J$125,2,FALSE))</f>
      </c>
      <c r="C96" s="57">
        <f>IF(A96="","",VLOOKUP(A96,'TAKIM KAYIT'!$A$6:$J$125,3,FALSE))</f>
      </c>
      <c r="D96" s="16">
        <f>IF(ISERROR(VLOOKUP($C96,'START LİSTE'!$B$6:$F$825,2,0)),"",VLOOKUP($C96,'START LİSTE'!$B$6:$F$825,2,0))</f>
      </c>
      <c r="E96" s="17">
        <f>IF(ISERROR(VLOOKUP($C96,'START LİSTE'!$B$6:$F$825,4,0)),"",VLOOKUP($C96,'START LİSTE'!$B$6:$F$825,4,0))</f>
      </c>
      <c r="F96" s="18">
        <f>IF(ISERROR(VLOOKUP($C96,'FERDİ SONUÇ'!$B$6:$H$913,6,0)),"",VLOOKUP($C96,'FERDİ SONUÇ'!$B$6:$H$913,6,0))</f>
      </c>
      <c r="G96" s="20" t="str">
        <f>IF(OR(E96="",F96="DQ",F96="DNF",F96="DNS",F96=""),"-",VLOOKUP(C96,'FERDİ SONUÇ'!$B$6:$H$913,7,0))</f>
        <v>-</v>
      </c>
      <c r="H96" s="21">
        <f>IF(A96="","",VLOOKUP(A96,'TAKIM KAYIT'!$A$6:$K$125,10,FALSE))</f>
      </c>
    </row>
    <row r="97" spans="1:8" ht="14.25" customHeight="1">
      <c r="A97" s="14"/>
      <c r="B97" s="15"/>
      <c r="C97" s="57">
        <f>IF(A96="","",INDEX('TAKIM KAYIT'!$C$6:$C$125,MATCH(C96,'TAKIM KAYIT'!$C$6:$C$125,0)+1))</f>
      </c>
      <c r="D97" s="16">
        <f>IF(ISERROR(VLOOKUP($C97,'START LİSTE'!$B$6:$F$825,2,0)),"",VLOOKUP($C97,'START LİSTE'!$B$6:$F$825,2,0))</f>
      </c>
      <c r="E97" s="17">
        <f>IF(ISERROR(VLOOKUP($C97,'START LİSTE'!$B$6:$F$825,4,0)),"",VLOOKUP($C97,'START LİSTE'!$B$6:$F$825,4,0))</f>
      </c>
      <c r="F97" s="18">
        <f>IF(ISERROR(VLOOKUP($C97,'FERDİ SONUÇ'!$B$6:$H$913,6,0)),"",VLOOKUP($C97,'FERDİ SONUÇ'!$B$6:$H$913,6,0))</f>
      </c>
      <c r="G97" s="20" t="str">
        <f>IF(OR(E97="",F97="DQ",F97="DNF",F97="DNS",F97=""),"-",VLOOKUP(C97,'FERDİ SONUÇ'!$B$6:$H$913,7,0))</f>
        <v>-</v>
      </c>
      <c r="H97" s="21"/>
    </row>
    <row r="98" spans="1:8" ht="14.25" customHeight="1">
      <c r="A98" s="6"/>
      <c r="B98" s="7"/>
      <c r="C98" s="55">
        <f>IF(A100="","",INDEX('TAKIM KAYIT'!$C$6:$C$125,MATCH(C100,'TAKIM KAYIT'!$C$6:$C$125,0)-2))</f>
      </c>
      <c r="D98" s="8">
        <f>IF(ISERROR(VLOOKUP($C98,'START LİSTE'!$B$6:$F$825,2,0)),"",VLOOKUP($C98,'START LİSTE'!$B$6:$F$825,2,0))</f>
      </c>
      <c r="E98" s="9">
        <f>IF(ISERROR(VLOOKUP($C98,'START LİSTE'!$B$6:$F$825,4,0)),"",VLOOKUP($C98,'START LİSTE'!$B$6:$F$825,4,0))</f>
      </c>
      <c r="F98" s="10">
        <f>IF(ISERROR(VLOOKUP($C98,'FERDİ SONUÇ'!$B$6:$H$913,6,0)),"",VLOOKUP($C98,'FERDİ SONUÇ'!$B$6:$H$913,6,0))</f>
      </c>
      <c r="G98" s="12" t="str">
        <f>IF(OR(E98="",F98="DQ",F98="DNF",F98="DNS",F98=""),"-",VLOOKUP(C98,'FERDİ SONUÇ'!$B$6:$H$913,7,0))</f>
        <v>-</v>
      </c>
      <c r="H98" s="13"/>
    </row>
    <row r="99" spans="1:8" ht="14.25" customHeight="1">
      <c r="A99" s="14"/>
      <c r="B99" s="15"/>
      <c r="C99" s="57">
        <f>IF(A100="","",INDEX('TAKIM KAYIT'!$C$6:$C$125,MATCH(C100,'TAKIM KAYIT'!$C$6:$C$125,0)-1))</f>
      </c>
      <c r="D99" s="16">
        <f>IF(ISERROR(VLOOKUP($C99,'START LİSTE'!$B$6:$F$825,2,0)),"",VLOOKUP($C99,'START LİSTE'!$B$6:$F$825,2,0))</f>
      </c>
      <c r="E99" s="17">
        <f>IF(ISERROR(VLOOKUP($C99,'START LİSTE'!$B$6:$F$825,4,0)),"",VLOOKUP($C99,'START LİSTE'!$B$6:$F$825,4,0))</f>
      </c>
      <c r="F99" s="18">
        <f>IF(ISERROR(VLOOKUP($C99,'FERDİ SONUÇ'!$B$6:$H$913,6,0)),"",VLOOKUP($C99,'FERDİ SONUÇ'!$B$6:$H$913,6,0))</f>
      </c>
      <c r="G99" s="20" t="str">
        <f>IF(OR(E99="",F99="DQ",F99="DNF",F99="DNS",F99=""),"-",VLOOKUP(C99,'FERDİ SONUÇ'!$B$6:$H$913,7,0))</f>
        <v>-</v>
      </c>
      <c r="H99" s="21"/>
    </row>
    <row r="100" spans="1:8" ht="14.25" customHeight="1">
      <c r="A100" s="88">
        <f>IF(ISERROR(SMALL('TAKIM KAYIT'!$A$6:$A$125,24)),"",SMALL('TAKIM KAYIT'!$A$6:$A$125,24))</f>
      </c>
      <c r="B100" s="15">
        <f>IF(A100="","",VLOOKUP(A100,'TAKIM KAYIT'!$A$6:$J$125,2,FALSE))</f>
      </c>
      <c r="C100" s="57">
        <f>IF(A100="","",VLOOKUP(A100,'TAKIM KAYIT'!$A$6:$J$125,3,FALSE))</f>
      </c>
      <c r="D100" s="16">
        <f>IF(ISERROR(VLOOKUP($C100,'START LİSTE'!$B$6:$F$825,2,0)),"",VLOOKUP($C100,'START LİSTE'!$B$6:$F$825,2,0))</f>
      </c>
      <c r="E100" s="17">
        <f>IF(ISERROR(VLOOKUP($C100,'START LİSTE'!$B$6:$F$825,4,0)),"",VLOOKUP($C100,'START LİSTE'!$B$6:$F$825,4,0))</f>
      </c>
      <c r="F100" s="18">
        <f>IF(ISERROR(VLOOKUP($C100,'FERDİ SONUÇ'!$B$6:$H$913,6,0)),"",VLOOKUP($C100,'FERDİ SONUÇ'!$B$6:$H$913,6,0))</f>
      </c>
      <c r="G100" s="20" t="str">
        <f>IF(OR(E100="",F100="DQ",F100="DNF",F100="DNS",F100=""),"-",VLOOKUP(C100,'FERDİ SONUÇ'!$B$6:$H$913,7,0))</f>
        <v>-</v>
      </c>
      <c r="H100" s="22">
        <f>IF(A100="","",VLOOKUP(A100,'TAKIM KAYIT'!$A$6:$K$125,10,FALSE))</f>
      </c>
    </row>
    <row r="101" spans="1:8" ht="14.25" customHeight="1">
      <c r="A101" s="14"/>
      <c r="B101" s="15"/>
      <c r="C101" s="57">
        <f>IF(A100="","",INDEX('TAKIM KAYIT'!$C$6:$C$125,MATCH(C100,'TAKIM KAYIT'!$C$6:$C$125,0)+1))</f>
      </c>
      <c r="D101" s="16">
        <f>IF(ISERROR(VLOOKUP($C101,'START LİSTE'!$B$6:$F$825,2,0)),"",VLOOKUP($C101,'START LİSTE'!$B$6:$F$825,2,0))</f>
      </c>
      <c r="E101" s="17">
        <f>IF(ISERROR(VLOOKUP($C101,'START LİSTE'!$B$6:$F$825,4,0)),"",VLOOKUP($C101,'START LİSTE'!$B$6:$F$825,4,0))</f>
      </c>
      <c r="F101" s="18">
        <f>IF(ISERROR(VLOOKUP($C101,'FERDİ SONUÇ'!$B$6:$H$913,6,0)),"",VLOOKUP($C101,'FERDİ SONUÇ'!$B$6:$H$913,6,0))</f>
      </c>
      <c r="G101" s="20" t="str">
        <f>IF(OR(E101="",F101="DQ",F101="DNF",F101="DNS",F101=""),"-",VLOOKUP(C101,'FERDİ SONUÇ'!$B$6:$H$913,7,0))</f>
        <v>-</v>
      </c>
      <c r="H101" s="21"/>
    </row>
    <row r="102" spans="1:8" ht="14.25" customHeight="1">
      <c r="A102" s="6"/>
      <c r="B102" s="7"/>
      <c r="C102" s="55">
        <f>IF(A104="","",INDEX('TAKIM KAYIT'!$C$6:$C$125,MATCH(C104,'TAKIM KAYIT'!$C$6:$C$125,0)-2))</f>
      </c>
      <c r="D102" s="8">
        <f>IF(ISERROR(VLOOKUP($C102,'START LİSTE'!$B$6:$F$825,2,0)),"",VLOOKUP($C102,'START LİSTE'!$B$6:$F$825,2,0))</f>
      </c>
      <c r="E102" s="9">
        <f>IF(ISERROR(VLOOKUP($C102,'START LİSTE'!$B$6:$F$825,4,0)),"",VLOOKUP($C102,'START LİSTE'!$B$6:$F$825,4,0))</f>
      </c>
      <c r="F102" s="10">
        <f>IF(ISERROR(VLOOKUP($C102,'FERDİ SONUÇ'!$B$6:$H$913,6,0)),"",VLOOKUP($C102,'FERDİ SONUÇ'!$B$6:$H$913,6,0))</f>
      </c>
      <c r="G102" s="12" t="str">
        <f>IF(OR(E102="",F102="DQ",F102="DNF",F102="DNS",F102=""),"-",VLOOKUP(C102,'FERDİ SONUÇ'!$B$6:$H$913,7,0))</f>
        <v>-</v>
      </c>
      <c r="H102" s="13"/>
    </row>
    <row r="103" spans="1:8" ht="14.25" customHeight="1">
      <c r="A103" s="14"/>
      <c r="B103" s="15"/>
      <c r="C103" s="57">
        <f>IF(A104="","",INDEX('TAKIM KAYIT'!$C$6:$C$125,MATCH(C104,'TAKIM KAYIT'!$C$6:$C$125,0)-1))</f>
      </c>
      <c r="D103" s="16">
        <f>IF(ISERROR(VLOOKUP($C103,'START LİSTE'!$B$6:$F$825,2,0)),"",VLOOKUP($C103,'START LİSTE'!$B$6:$F$825,2,0))</f>
      </c>
      <c r="E103" s="17">
        <f>IF(ISERROR(VLOOKUP($C103,'START LİSTE'!$B$6:$F$825,4,0)),"",VLOOKUP($C103,'START LİSTE'!$B$6:$F$825,4,0))</f>
      </c>
      <c r="F103" s="18">
        <f>IF(ISERROR(VLOOKUP($C103,'FERDİ SONUÇ'!$B$6:$H$913,6,0)),"",VLOOKUP($C103,'FERDİ SONUÇ'!$B$6:$H$913,6,0))</f>
      </c>
      <c r="G103" s="20" t="str">
        <f>IF(OR(E103="",F103="DQ",F103="DNF",F103="DNS",F103=""),"-",VLOOKUP(C103,'FERDİ SONUÇ'!$B$6:$H$913,7,0))</f>
        <v>-</v>
      </c>
      <c r="H103" s="21"/>
    </row>
    <row r="104" spans="1:8" ht="14.25" customHeight="1">
      <c r="A104" s="88">
        <f>IF(ISERROR(SMALL('TAKIM KAYIT'!$A$6:$A$125,25)),"",SMALL('TAKIM KAYIT'!$A$6:$A$125,25))</f>
      </c>
      <c r="B104" s="15">
        <f>IF(A104="","",VLOOKUP(A104,'TAKIM KAYIT'!$A$6:$J$125,2,FALSE))</f>
      </c>
      <c r="C104" s="57">
        <f>IF(A104="","",VLOOKUP(A104,'TAKIM KAYIT'!$A$6:$J$125,3,FALSE))</f>
      </c>
      <c r="D104" s="16">
        <f>IF(ISERROR(VLOOKUP($C104,'START LİSTE'!$B$6:$F$825,2,0)),"",VLOOKUP($C104,'START LİSTE'!$B$6:$F$825,2,0))</f>
      </c>
      <c r="E104" s="17">
        <f>IF(ISERROR(VLOOKUP($C104,'START LİSTE'!$B$6:$F$825,4,0)),"",VLOOKUP($C104,'START LİSTE'!$B$6:$F$825,4,0))</f>
      </c>
      <c r="F104" s="18">
        <f>IF(ISERROR(VLOOKUP($C104,'FERDİ SONUÇ'!$B$6:$H$913,6,0)),"",VLOOKUP($C104,'FERDİ SONUÇ'!$B$6:$H$913,6,0))</f>
      </c>
      <c r="G104" s="20" t="str">
        <f>IF(OR(E104="",F104="DQ",F104="DNF",F104="DNS",F104=""),"-",VLOOKUP(C104,'FERDİ SONUÇ'!$B$6:$H$913,7,0))</f>
        <v>-</v>
      </c>
      <c r="H104" s="22">
        <f>IF(A104="","",VLOOKUP(A104,'TAKIM KAYIT'!$A$6:$K$125,10,FALSE))</f>
      </c>
    </row>
    <row r="105" spans="1:8" ht="14.25" customHeight="1">
      <c r="A105" s="14"/>
      <c r="B105" s="15"/>
      <c r="C105" s="57">
        <f>IF(A104="","",INDEX('TAKIM KAYIT'!$C$6:$C$125,MATCH(C104,'TAKIM KAYIT'!$C$6:$C$125,0)+1))</f>
      </c>
      <c r="D105" s="16">
        <f>IF(ISERROR(VLOOKUP($C105,'START LİSTE'!$B$6:$F$825,2,0)),"",VLOOKUP($C105,'START LİSTE'!$B$6:$F$825,2,0))</f>
      </c>
      <c r="E105" s="17">
        <f>IF(ISERROR(VLOOKUP($C105,'START LİSTE'!$B$6:$F$825,4,0)),"",VLOOKUP($C105,'START LİSTE'!$B$6:$F$825,4,0))</f>
      </c>
      <c r="F105" s="18">
        <f>IF(ISERROR(VLOOKUP($C105,'FERDİ SONUÇ'!$B$6:$H$913,6,0)),"",VLOOKUP($C105,'FERDİ SONUÇ'!$B$6:$H$913,6,0))</f>
      </c>
      <c r="G105" s="20" t="str">
        <f>IF(OR(E105="",F105="DQ",F105="DNF",F105="DNS",F105=""),"-",VLOOKUP(C105,'FERDİ SONUÇ'!$B$6:$H$913,7,0))</f>
        <v>-</v>
      </c>
      <c r="H105" s="21"/>
    </row>
    <row r="106" spans="1:8" ht="14.25" customHeight="1">
      <c r="A106" s="6"/>
      <c r="B106" s="7"/>
      <c r="C106" s="55">
        <f>IF(A108="","",INDEX('TAKIM KAYIT'!$C$6:$C$125,MATCH(C108,'TAKIM KAYIT'!$C$6:$C$125,0)-2))</f>
      </c>
      <c r="D106" s="8">
        <f>IF(ISERROR(VLOOKUP($C106,'START LİSTE'!$B$6:$F$825,2,0)),"",VLOOKUP($C106,'START LİSTE'!$B$6:$F$825,2,0))</f>
      </c>
      <c r="E106" s="9">
        <f>IF(ISERROR(VLOOKUP($C106,'START LİSTE'!$B$6:$F$825,4,0)),"",VLOOKUP($C106,'START LİSTE'!$B$6:$F$825,4,0))</f>
      </c>
      <c r="F106" s="10">
        <f>IF(ISERROR(VLOOKUP($C106,'FERDİ SONUÇ'!$B$6:$H$913,6,0)),"",VLOOKUP($C106,'FERDİ SONUÇ'!$B$6:$H$913,6,0))</f>
      </c>
      <c r="G106" s="12" t="str">
        <f>IF(OR(E106="",F106="DQ",F106="DNF",F106="DNS",F106=""),"-",VLOOKUP(C106,'FERDİ SONUÇ'!$B$6:$H$913,7,0))</f>
        <v>-</v>
      </c>
      <c r="H106" s="13"/>
    </row>
    <row r="107" spans="1:8" ht="14.25" customHeight="1">
      <c r="A107" s="14"/>
      <c r="B107" s="15"/>
      <c r="C107" s="57">
        <f>IF(A108="","",INDEX('TAKIM KAYIT'!$C$6:$C$125,MATCH(C108,'TAKIM KAYIT'!$C$6:$C$125,0)-1))</f>
      </c>
      <c r="D107" s="16">
        <f>IF(ISERROR(VLOOKUP($C107,'START LİSTE'!$B$6:$F$825,2,0)),"",VLOOKUP($C107,'START LİSTE'!$B$6:$F$825,2,0))</f>
      </c>
      <c r="E107" s="17">
        <f>IF(ISERROR(VLOOKUP($C107,'START LİSTE'!$B$6:$F$825,4,0)),"",VLOOKUP($C107,'START LİSTE'!$B$6:$F$825,4,0))</f>
      </c>
      <c r="F107" s="18">
        <f>IF(ISERROR(VLOOKUP($C107,'FERDİ SONUÇ'!$B$6:$H$913,6,0)),"",VLOOKUP($C107,'FERDİ SONUÇ'!$B$6:$H$913,6,0))</f>
      </c>
      <c r="G107" s="20" t="str">
        <f>IF(OR(E107="",F107="DQ",F107="DNF",F107="DNS",F107=""),"-",VLOOKUP(C107,'FERDİ SONUÇ'!$B$6:$H$913,7,0))</f>
        <v>-</v>
      </c>
      <c r="H107" s="21"/>
    </row>
    <row r="108" spans="1:8" ht="14.25" customHeight="1">
      <c r="A108" s="88">
        <f>IF(ISERROR(SMALL('TAKIM KAYIT'!$A$6:$A$125,26)),"",SMALL('TAKIM KAYIT'!$A$6:$A$125,26))</f>
      </c>
      <c r="B108" s="15">
        <f>IF(A108="","",VLOOKUP(A108,'TAKIM KAYIT'!$A$6:$J$125,2,FALSE))</f>
      </c>
      <c r="C108" s="57">
        <f>IF(A108="","",VLOOKUP(A108,'TAKIM KAYIT'!$A$6:$J$125,3,FALSE))</f>
      </c>
      <c r="D108" s="16">
        <f>IF(ISERROR(VLOOKUP($C108,'START LİSTE'!$B$6:$F$825,2,0)),"",VLOOKUP($C108,'START LİSTE'!$B$6:$F$825,2,0))</f>
      </c>
      <c r="E108" s="17">
        <f>IF(ISERROR(VLOOKUP($C108,'START LİSTE'!$B$6:$F$825,4,0)),"",VLOOKUP($C108,'START LİSTE'!$B$6:$F$825,4,0))</f>
      </c>
      <c r="F108" s="18">
        <f>IF(ISERROR(VLOOKUP($C108,'FERDİ SONUÇ'!$B$6:$H$913,6,0)),"",VLOOKUP($C108,'FERDİ SONUÇ'!$B$6:$H$913,6,0))</f>
      </c>
      <c r="G108" s="20" t="str">
        <f>IF(OR(E108="",F108="DQ",F108="DNF",F108="DNS",F108=""),"-",VLOOKUP(C108,'FERDİ SONUÇ'!$B$6:$H$913,7,0))</f>
        <v>-</v>
      </c>
      <c r="H108" s="22">
        <f>IF(A108="","",VLOOKUP(A108,'TAKIM KAYIT'!$A$6:$K$125,10,FALSE))</f>
      </c>
    </row>
    <row r="109" spans="1:8" ht="14.25" customHeight="1">
      <c r="A109" s="14"/>
      <c r="B109" s="15"/>
      <c r="C109" s="57">
        <f>IF(A108="","",INDEX('TAKIM KAYIT'!$C$6:$C$125,MATCH(C108,'TAKIM KAYIT'!$C$6:$C$125,0)+1))</f>
      </c>
      <c r="D109" s="16">
        <f>IF(ISERROR(VLOOKUP($C109,'START LİSTE'!$B$6:$F$825,2,0)),"",VLOOKUP($C109,'START LİSTE'!$B$6:$F$825,2,0))</f>
      </c>
      <c r="E109" s="17">
        <f>IF(ISERROR(VLOOKUP($C109,'START LİSTE'!$B$6:$F$825,4,0)),"",VLOOKUP($C109,'START LİSTE'!$B$6:$F$825,4,0))</f>
      </c>
      <c r="F109" s="18">
        <f>IF(ISERROR(VLOOKUP($C109,'FERDİ SONUÇ'!$B$6:$H$913,6,0)),"",VLOOKUP($C109,'FERDİ SONUÇ'!$B$6:$H$913,6,0))</f>
      </c>
      <c r="G109" s="20" t="str">
        <f>IF(OR(E109="",F109="DQ",F109="DNF",F109="DNS",F109=""),"-",VLOOKUP(C109,'FERDİ SONUÇ'!$B$6:$H$913,7,0))</f>
        <v>-</v>
      </c>
      <c r="H109" s="21"/>
    </row>
    <row r="110" spans="1:8" ht="14.25" customHeight="1">
      <c r="A110" s="6"/>
      <c r="B110" s="7"/>
      <c r="C110" s="55">
        <f>IF(A112="","",INDEX('TAKIM KAYIT'!$C$6:$C$125,MATCH(C112,'TAKIM KAYIT'!$C$6:$C$125,0)-2))</f>
      </c>
      <c r="D110" s="8">
        <f>IF(ISERROR(VLOOKUP($C110,'START LİSTE'!$B$6:$F$825,2,0)),"",VLOOKUP($C110,'START LİSTE'!$B$6:$F$825,2,0))</f>
      </c>
      <c r="E110" s="9">
        <f>IF(ISERROR(VLOOKUP($C110,'START LİSTE'!$B$6:$F$825,4,0)),"",VLOOKUP($C110,'START LİSTE'!$B$6:$F$825,4,0))</f>
      </c>
      <c r="F110" s="10">
        <f>IF(ISERROR(VLOOKUP($C110,'FERDİ SONUÇ'!$B$6:$H$913,6,0)),"",VLOOKUP($C110,'FERDİ SONUÇ'!$B$6:$H$913,6,0))</f>
      </c>
      <c r="G110" s="12" t="str">
        <f>IF(OR(E110="",F110="DQ",F110="DNF",F110="DNS",F110=""),"-",VLOOKUP(C110,'FERDİ SONUÇ'!$B$6:$H$913,7,0))</f>
        <v>-</v>
      </c>
      <c r="H110" s="13"/>
    </row>
    <row r="111" spans="1:8" ht="14.25" customHeight="1">
      <c r="A111" s="14"/>
      <c r="B111" s="15"/>
      <c r="C111" s="57">
        <f>IF(A112="","",INDEX('TAKIM KAYIT'!$C$6:$C$125,MATCH(C112,'TAKIM KAYIT'!$C$6:$C$125,0)-1))</f>
      </c>
      <c r="D111" s="16">
        <f>IF(ISERROR(VLOOKUP($C111,'START LİSTE'!$B$6:$F$825,2,0)),"",VLOOKUP($C111,'START LİSTE'!$B$6:$F$825,2,0))</f>
      </c>
      <c r="E111" s="17">
        <f>IF(ISERROR(VLOOKUP($C111,'START LİSTE'!$B$6:$F$825,4,0)),"",VLOOKUP($C111,'START LİSTE'!$B$6:$F$825,4,0))</f>
      </c>
      <c r="F111" s="18">
        <f>IF(ISERROR(VLOOKUP($C111,'FERDİ SONUÇ'!$B$6:$H$913,6,0)),"",VLOOKUP($C111,'FERDİ SONUÇ'!$B$6:$H$913,6,0))</f>
      </c>
      <c r="G111" s="20" t="str">
        <f>IF(OR(E111="",F111="DQ",F111="DNF",F111="DNS",F111=""),"-",VLOOKUP(C111,'FERDİ SONUÇ'!$B$6:$H$913,7,0))</f>
        <v>-</v>
      </c>
      <c r="H111" s="21"/>
    </row>
    <row r="112" spans="1:8" ht="14.25" customHeight="1">
      <c r="A112" s="88">
        <f>IF(ISERROR(SMALL('TAKIM KAYIT'!$A$6:$A$125,27)),"",SMALL('TAKIM KAYIT'!$A$6:$A$125,27))</f>
      </c>
      <c r="B112" s="15">
        <f>IF(A112="","",VLOOKUP(A112,'TAKIM KAYIT'!$A$6:$J$125,2,FALSE))</f>
      </c>
      <c r="C112" s="57">
        <f>IF(A112="","",VLOOKUP(A112,'TAKIM KAYIT'!$A$6:$J$125,3,FALSE))</f>
      </c>
      <c r="D112" s="16">
        <f>IF(ISERROR(VLOOKUP($C112,'START LİSTE'!$B$6:$F$825,2,0)),"",VLOOKUP($C112,'START LİSTE'!$B$6:$F$825,2,0))</f>
      </c>
      <c r="E112" s="17">
        <f>IF(ISERROR(VLOOKUP($C112,'START LİSTE'!$B$6:$F$825,4,0)),"",VLOOKUP($C112,'START LİSTE'!$B$6:$F$825,4,0))</f>
      </c>
      <c r="F112" s="18">
        <f>IF(ISERROR(VLOOKUP($C112,'FERDİ SONUÇ'!$B$6:$H$913,6,0)),"",VLOOKUP($C112,'FERDİ SONUÇ'!$B$6:$H$913,6,0))</f>
      </c>
      <c r="G112" s="20" t="str">
        <f>IF(OR(E112="",F112="DQ",F112="DNF",F112="DNS",F112=""),"-",VLOOKUP(C112,'FERDİ SONUÇ'!$B$6:$H$913,7,0))</f>
        <v>-</v>
      </c>
      <c r="H112" s="22">
        <f>IF(A112="","",VLOOKUP(A112,'TAKIM KAYIT'!$A$6:$K$125,10,FALSE))</f>
      </c>
    </row>
    <row r="113" spans="1:8" ht="14.25" customHeight="1">
      <c r="A113" s="14"/>
      <c r="B113" s="15"/>
      <c r="C113" s="57">
        <f>IF(A112="","",INDEX('TAKIM KAYIT'!$C$6:$C$125,MATCH(C112,'TAKIM KAYIT'!$C$6:$C$125,0)+1))</f>
      </c>
      <c r="D113" s="16">
        <f>IF(ISERROR(VLOOKUP($C113,'START LİSTE'!$B$6:$F$825,2,0)),"",VLOOKUP($C113,'START LİSTE'!$B$6:$F$825,2,0))</f>
      </c>
      <c r="E113" s="17">
        <f>IF(ISERROR(VLOOKUP($C113,'START LİSTE'!$B$6:$F$825,4,0)),"",VLOOKUP($C113,'START LİSTE'!$B$6:$F$825,4,0))</f>
      </c>
      <c r="F113" s="18">
        <f>IF(ISERROR(VLOOKUP($C113,'FERDİ SONUÇ'!$B$6:$H$913,6,0)),"",VLOOKUP($C113,'FERDİ SONUÇ'!$B$6:$H$913,6,0))</f>
      </c>
      <c r="G113" s="20" t="str">
        <f>IF(OR(E113="",F113="DQ",F113="DNF",F113="DNS",F113=""),"-",VLOOKUP(C113,'FERDİ SONUÇ'!$B$6:$H$913,7,0))</f>
        <v>-</v>
      </c>
      <c r="H113" s="21"/>
    </row>
    <row r="114" spans="1:8" ht="14.25" customHeight="1">
      <c r="A114" s="6"/>
      <c r="B114" s="7"/>
      <c r="C114" s="55">
        <f>IF(A116="","",INDEX('TAKIM KAYIT'!$C$6:$C$125,MATCH(C116,'TAKIM KAYIT'!$C$6:$C$125,0)-2))</f>
      </c>
      <c r="D114" s="8">
        <f>IF(ISERROR(VLOOKUP($C114,'START LİSTE'!$B$6:$F$825,2,0)),"",VLOOKUP($C114,'START LİSTE'!$B$6:$F$825,2,0))</f>
      </c>
      <c r="E114" s="9">
        <f>IF(ISERROR(VLOOKUP($C114,'START LİSTE'!$B$6:$F$825,4,0)),"",VLOOKUP($C114,'START LİSTE'!$B$6:$F$825,4,0))</f>
      </c>
      <c r="F114" s="10">
        <f>IF(ISERROR(VLOOKUP($C114,'FERDİ SONUÇ'!$B$6:$H$913,6,0)),"",VLOOKUP($C114,'FERDİ SONUÇ'!$B$6:$H$913,6,0))</f>
      </c>
      <c r="G114" s="12" t="str">
        <f>IF(OR(E114="",F114="DQ",F114="DNF",F114="DNS",F114=""),"-",VLOOKUP(C114,'FERDİ SONUÇ'!$B$6:$H$913,7,0))</f>
        <v>-</v>
      </c>
      <c r="H114" s="13"/>
    </row>
    <row r="115" spans="1:8" ht="14.25" customHeight="1">
      <c r="A115" s="14"/>
      <c r="B115" s="15"/>
      <c r="C115" s="57">
        <f>IF(A116="","",INDEX('TAKIM KAYIT'!$C$6:$C$125,MATCH(C116,'TAKIM KAYIT'!$C$6:$C$125,0)-1))</f>
      </c>
      <c r="D115" s="16">
        <f>IF(ISERROR(VLOOKUP($C115,'START LİSTE'!$B$6:$F$825,2,0)),"",VLOOKUP($C115,'START LİSTE'!$B$6:$F$825,2,0))</f>
      </c>
      <c r="E115" s="17">
        <f>IF(ISERROR(VLOOKUP($C115,'START LİSTE'!$B$6:$F$825,4,0)),"",VLOOKUP($C115,'START LİSTE'!$B$6:$F$825,4,0))</f>
      </c>
      <c r="F115" s="18">
        <f>IF(ISERROR(VLOOKUP($C115,'FERDİ SONUÇ'!$B$6:$H$913,6,0)),"",VLOOKUP($C115,'FERDİ SONUÇ'!$B$6:$H$913,6,0))</f>
      </c>
      <c r="G115" s="20" t="str">
        <f>IF(OR(E115="",F115="DQ",F115="DNF",F115="DNS",F115=""),"-",VLOOKUP(C115,'FERDİ SONUÇ'!$B$6:$H$913,7,0))</f>
        <v>-</v>
      </c>
      <c r="H115" s="21"/>
    </row>
    <row r="116" spans="1:8" ht="14.25" customHeight="1">
      <c r="A116" s="88">
        <f>IF(ISERROR(SMALL('TAKIM KAYIT'!$A$6:$A$125,28)),"",SMALL('TAKIM KAYIT'!$A$6:$A$125,28))</f>
      </c>
      <c r="B116" s="15">
        <f>IF(A116="","",VLOOKUP(A116,'TAKIM KAYIT'!$A$6:$J$125,2,FALSE))</f>
      </c>
      <c r="C116" s="57">
        <f>IF(A116="","",VLOOKUP(A116,'TAKIM KAYIT'!$A$6:$J$125,3,FALSE))</f>
      </c>
      <c r="D116" s="16">
        <f>IF(ISERROR(VLOOKUP($C116,'START LİSTE'!$B$6:$F$825,2,0)),"",VLOOKUP($C116,'START LİSTE'!$B$6:$F$825,2,0))</f>
      </c>
      <c r="E116" s="17">
        <f>IF(ISERROR(VLOOKUP($C116,'START LİSTE'!$B$6:$F$825,4,0)),"",VLOOKUP($C116,'START LİSTE'!$B$6:$F$825,4,0))</f>
      </c>
      <c r="F116" s="18">
        <f>IF(ISERROR(VLOOKUP($C116,'FERDİ SONUÇ'!$B$6:$H$913,6,0)),"",VLOOKUP($C116,'FERDİ SONUÇ'!$B$6:$H$913,6,0))</f>
      </c>
      <c r="G116" s="20" t="str">
        <f>IF(OR(E116="",F116="DQ",F116="DNF",F116="DNS",F116=""),"-",VLOOKUP(C116,'FERDİ SONUÇ'!$B$6:$H$913,7,0))</f>
        <v>-</v>
      </c>
      <c r="H116" s="22">
        <f>IF(A116="","",VLOOKUP(A116,'TAKIM KAYIT'!$A$6:$K$125,10,FALSE))</f>
      </c>
    </row>
    <row r="117" spans="1:8" ht="14.25" customHeight="1">
      <c r="A117" s="14"/>
      <c r="B117" s="15"/>
      <c r="C117" s="57">
        <f>IF(A116="","",INDEX('TAKIM KAYIT'!$C$6:$C$125,MATCH(C116,'TAKIM KAYIT'!$C$6:$C$125,0)+1))</f>
      </c>
      <c r="D117" s="16">
        <f>IF(ISERROR(VLOOKUP($C117,'START LİSTE'!$B$6:$F$825,2,0)),"",VLOOKUP($C117,'START LİSTE'!$B$6:$F$825,2,0))</f>
      </c>
      <c r="E117" s="17">
        <f>IF(ISERROR(VLOOKUP($C117,'START LİSTE'!$B$6:$F$825,4,0)),"",VLOOKUP($C117,'START LİSTE'!$B$6:$F$825,4,0))</f>
      </c>
      <c r="F117" s="18">
        <f>IF(ISERROR(VLOOKUP($C117,'FERDİ SONUÇ'!$B$6:$H$913,6,0)),"",VLOOKUP($C117,'FERDİ SONUÇ'!$B$6:$H$913,6,0))</f>
      </c>
      <c r="G117" s="20" t="str">
        <f>IF(OR(E117="",F117="DQ",F117="DNF",F117="DNS",F117=""),"-",VLOOKUP(C117,'FERDİ SONUÇ'!$B$6:$H$913,7,0))</f>
        <v>-</v>
      </c>
      <c r="H117" s="21"/>
    </row>
    <row r="118" spans="1:8" ht="14.25" customHeight="1">
      <c r="A118" s="6"/>
      <c r="B118" s="7"/>
      <c r="C118" s="55">
        <f>IF(A120="","",INDEX('TAKIM KAYIT'!$C$6:$C$125,MATCH(C120,'TAKIM KAYIT'!$C$6:$C$125,0)-2))</f>
      </c>
      <c r="D118" s="8">
        <f>IF(ISERROR(VLOOKUP($C118,'START LİSTE'!$B$6:$F$825,2,0)),"",VLOOKUP($C118,'START LİSTE'!$B$6:$F$825,2,0))</f>
      </c>
      <c r="E118" s="9">
        <f>IF(ISERROR(VLOOKUP($C118,'START LİSTE'!$B$6:$F$825,4,0)),"",VLOOKUP($C118,'START LİSTE'!$B$6:$F$825,4,0))</f>
      </c>
      <c r="F118" s="10">
        <f>IF(ISERROR(VLOOKUP($C118,'FERDİ SONUÇ'!$B$6:$H$913,6,0)),"",VLOOKUP($C118,'FERDİ SONUÇ'!$B$6:$H$913,6,0))</f>
      </c>
      <c r="G118" s="12" t="str">
        <f>IF(OR(E118="",F118="DQ",F118="DNF",F118="DNS",F118=""),"-",VLOOKUP(C118,'FERDİ SONUÇ'!$B$6:$H$913,7,0))</f>
        <v>-</v>
      </c>
      <c r="H118" s="13"/>
    </row>
    <row r="119" spans="1:8" ht="14.25" customHeight="1">
      <c r="A119" s="14"/>
      <c r="B119" s="15"/>
      <c r="C119" s="57">
        <f>IF(A120="","",INDEX('TAKIM KAYIT'!$C$6:$C$125,MATCH(C120,'TAKIM KAYIT'!$C$6:$C$125,0)-1))</f>
      </c>
      <c r="D119" s="16">
        <f>IF(ISERROR(VLOOKUP($C119,'START LİSTE'!$B$6:$F$825,2,0)),"",VLOOKUP($C119,'START LİSTE'!$B$6:$F$825,2,0))</f>
      </c>
      <c r="E119" s="17">
        <f>IF(ISERROR(VLOOKUP($C119,'START LİSTE'!$B$6:$F$825,4,0)),"",VLOOKUP($C119,'START LİSTE'!$B$6:$F$825,4,0))</f>
      </c>
      <c r="F119" s="18">
        <f>IF(ISERROR(VLOOKUP($C119,'FERDİ SONUÇ'!$B$6:$H$913,6,0)),"",VLOOKUP($C119,'FERDİ SONUÇ'!$B$6:$H$913,6,0))</f>
      </c>
      <c r="G119" s="20" t="str">
        <f>IF(OR(E119="",F119="DQ",F119="DNF",F119="DNS",F119=""),"-",VLOOKUP(C119,'FERDİ SONUÇ'!$B$6:$H$913,7,0))</f>
        <v>-</v>
      </c>
      <c r="H119" s="21"/>
    </row>
    <row r="120" spans="1:8" ht="14.25" customHeight="1">
      <c r="A120" s="88">
        <f>IF(ISERROR(SMALL('TAKIM KAYIT'!$A$6:$A$125,29)),"",SMALL('TAKIM KAYIT'!$A$6:$A$125,29))</f>
      </c>
      <c r="B120" s="15">
        <f>IF(A120="","",VLOOKUP(A120,'TAKIM KAYIT'!$A$6:$J$125,2,FALSE))</f>
      </c>
      <c r="C120" s="57">
        <f>IF(A120="","",VLOOKUP(A120,'TAKIM KAYIT'!$A$6:$J$125,3,FALSE))</f>
      </c>
      <c r="D120" s="16">
        <f>IF(ISERROR(VLOOKUP($C120,'START LİSTE'!$B$6:$F$825,2,0)),"",VLOOKUP($C120,'START LİSTE'!$B$6:$F$825,2,0))</f>
      </c>
      <c r="E120" s="17">
        <f>IF(ISERROR(VLOOKUP($C120,'START LİSTE'!$B$6:$F$825,4,0)),"",VLOOKUP($C120,'START LİSTE'!$B$6:$F$825,4,0))</f>
      </c>
      <c r="F120" s="18">
        <f>IF(ISERROR(VLOOKUP($C120,'FERDİ SONUÇ'!$B$6:$H$913,6,0)),"",VLOOKUP($C120,'FERDİ SONUÇ'!$B$6:$H$913,6,0))</f>
      </c>
      <c r="G120" s="20" t="str">
        <f>IF(OR(E120="",F120="DQ",F120="DNF",F120="DNS",F120=""),"-",VLOOKUP(C120,'FERDİ SONUÇ'!$B$6:$H$913,7,0))</f>
        <v>-</v>
      </c>
      <c r="H120" s="22">
        <f>IF(A120="","",VLOOKUP(A120,'TAKIM KAYIT'!$A$6:$K$125,10,FALSE))</f>
      </c>
    </row>
    <row r="121" spans="1:8" ht="14.25" customHeight="1">
      <c r="A121" s="14"/>
      <c r="B121" s="15"/>
      <c r="C121" s="57">
        <f>IF(A120="","",INDEX('TAKIM KAYIT'!$C$6:$C$125,MATCH(C120,'TAKIM KAYIT'!$C$6:$C$125,0)+1))</f>
      </c>
      <c r="D121" s="16">
        <f>IF(ISERROR(VLOOKUP($C121,'START LİSTE'!$B$6:$F$825,2,0)),"",VLOOKUP($C121,'START LİSTE'!$B$6:$F$825,2,0))</f>
      </c>
      <c r="E121" s="17">
        <f>IF(ISERROR(VLOOKUP($C121,'START LİSTE'!$B$6:$F$825,4,0)),"",VLOOKUP($C121,'START LİSTE'!$B$6:$F$825,4,0))</f>
      </c>
      <c r="F121" s="18">
        <f>IF(ISERROR(VLOOKUP($C121,'FERDİ SONUÇ'!$B$6:$H$913,6,0)),"",VLOOKUP($C121,'FERDİ SONUÇ'!$B$6:$H$913,6,0))</f>
      </c>
      <c r="G121" s="20" t="str">
        <f>IF(OR(E121="",F121="DQ",F121="DNF",F121="DNS",F121=""),"-",VLOOKUP(C121,'FERDİ SONUÇ'!$B$6:$H$913,7,0))</f>
        <v>-</v>
      </c>
      <c r="H121" s="21"/>
    </row>
    <row r="122" spans="1:8" ht="14.25" customHeight="1">
      <c r="A122" s="6"/>
      <c r="B122" s="7"/>
      <c r="C122" s="55">
        <f>IF(A124="","",INDEX('TAKIM KAYIT'!$C$6:$C$125,MATCH(C124,'TAKIM KAYIT'!$C$6:$C$125,0)-2))</f>
      </c>
      <c r="D122" s="8">
        <f>IF(ISERROR(VLOOKUP($C122,'START LİSTE'!$B$6:$F$825,2,0)),"",VLOOKUP($C122,'START LİSTE'!$B$6:$F$825,2,0))</f>
      </c>
      <c r="E122" s="9">
        <f>IF(ISERROR(VLOOKUP($C122,'START LİSTE'!$B$6:$F$825,4,0)),"",VLOOKUP($C122,'START LİSTE'!$B$6:$F$825,4,0))</f>
      </c>
      <c r="F122" s="10">
        <f>IF(ISERROR(VLOOKUP($C122,'FERDİ SONUÇ'!$B$6:$H$913,6,0)),"",VLOOKUP($C122,'FERDİ SONUÇ'!$B$6:$H$913,6,0))</f>
      </c>
      <c r="G122" s="12" t="str">
        <f>IF(OR(E122="",F122="DQ",F122="DNF",F122="DNS",F122=""),"-",VLOOKUP(C122,'FERDİ SONUÇ'!$B$6:$H$913,7,0))</f>
        <v>-</v>
      </c>
      <c r="H122" s="13"/>
    </row>
    <row r="123" spans="1:8" ht="14.25" customHeight="1">
      <c r="A123" s="14"/>
      <c r="B123" s="15"/>
      <c r="C123" s="57">
        <f>IF(A124="","",INDEX('TAKIM KAYIT'!$C$6:$C$125,MATCH(C124,'TAKIM KAYIT'!$C$6:$C$125,0)-1))</f>
      </c>
      <c r="D123" s="16">
        <f>IF(ISERROR(VLOOKUP($C123,'START LİSTE'!$B$6:$F$825,2,0)),"",VLOOKUP($C123,'START LİSTE'!$B$6:$F$825,2,0))</f>
      </c>
      <c r="E123" s="17">
        <f>IF(ISERROR(VLOOKUP($C123,'START LİSTE'!$B$6:$F$825,4,0)),"",VLOOKUP($C123,'START LİSTE'!$B$6:$F$825,4,0))</f>
      </c>
      <c r="F123" s="18">
        <f>IF(ISERROR(VLOOKUP($C123,'FERDİ SONUÇ'!$B$6:$H$913,6,0)),"",VLOOKUP($C123,'FERDİ SONUÇ'!$B$6:$H$913,6,0))</f>
      </c>
      <c r="G123" s="20" t="str">
        <f>IF(OR(E123="",F123="DQ",F123="DNF",F123="DNS",F123=""),"-",VLOOKUP(C123,'FERDİ SONUÇ'!$B$6:$H$913,7,0))</f>
        <v>-</v>
      </c>
      <c r="H123" s="21"/>
    </row>
    <row r="124" spans="1:8" ht="14.25" customHeight="1">
      <c r="A124" s="88">
        <f>IF(ISERROR(SMALL('TAKIM KAYIT'!$A$6:$A$125,30)),"",SMALL('TAKIM KAYIT'!$A$6:$A$125,30))</f>
      </c>
      <c r="B124" s="15">
        <f>IF(A124="","",VLOOKUP(A124,'TAKIM KAYIT'!$A$6:$J$125,2,FALSE))</f>
      </c>
      <c r="C124" s="57">
        <f>IF(A124="","",VLOOKUP(A124,'TAKIM KAYIT'!$A$6:$J$125,3,FALSE))</f>
      </c>
      <c r="D124" s="16">
        <f>IF(ISERROR(VLOOKUP($C124,'START LİSTE'!$B$6:$F$825,2,0)),"",VLOOKUP($C124,'START LİSTE'!$B$6:$F$825,2,0))</f>
      </c>
      <c r="E124" s="17">
        <f>IF(ISERROR(VLOOKUP($C124,'START LİSTE'!$B$6:$F$825,4,0)),"",VLOOKUP($C124,'START LİSTE'!$B$6:$F$825,4,0))</f>
      </c>
      <c r="F124" s="18">
        <f>IF(ISERROR(VLOOKUP($C124,'FERDİ SONUÇ'!$B$6:$H$913,6,0)),"",VLOOKUP($C124,'FERDİ SONUÇ'!$B$6:$H$913,6,0))</f>
      </c>
      <c r="G124" s="20" t="str">
        <f>IF(OR(E124="",F124="DQ",F124="DNF",F124="DNS",F124=""),"-",VLOOKUP(C124,'FERDİ SONUÇ'!$B$6:$H$913,7,0))</f>
        <v>-</v>
      </c>
      <c r="H124" s="22">
        <f>IF(A124="","",VLOOKUP(A124,'TAKIM KAYIT'!$A$6:$K$125,10,FALSE))</f>
      </c>
    </row>
    <row r="125" spans="1:8" ht="14.25" customHeight="1">
      <c r="A125" s="14"/>
      <c r="B125" s="15"/>
      <c r="C125" s="57">
        <f>IF(A124="","",INDEX('TAKIM KAYIT'!$C$6:$C$125,MATCH(C124,'TAKIM KAYIT'!$C$6:$C$125,0)+1))</f>
      </c>
      <c r="D125" s="16">
        <f>IF(ISERROR(VLOOKUP($C125,'START LİSTE'!$B$6:$F$825,2,0)),"",VLOOKUP($C125,'START LİSTE'!$B$6:$F$825,2,0))</f>
      </c>
      <c r="E125" s="17">
        <f>IF(ISERROR(VLOOKUP($C125,'START LİSTE'!$B$6:$F$825,4,0)),"",VLOOKUP($C125,'START LİSTE'!$B$6:$F$825,4,0))</f>
      </c>
      <c r="F125" s="18">
        <f>IF(ISERROR(VLOOKUP($C125,'FERDİ SONUÇ'!$B$6:$H$913,6,0)),"",VLOOKUP($C125,'FERDİ SONUÇ'!$B$6:$H$913,6,0))</f>
      </c>
      <c r="G125" s="20" t="str">
        <f>IF(OR(E125="",F125="DQ",F125="DNF",F125="DNS",F125=""),"-",VLOOKUP(C125,'FERDİ SONUÇ'!$B$6:$H$913,7,0))</f>
        <v>-</v>
      </c>
      <c r="H125" s="21"/>
    </row>
  </sheetData>
  <sheetProtection password="EF9D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125">
    <cfRule type="duplicateValues" priority="178" dxfId="0" stopIfTrue="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2014-02-02T10:15:59Z</cp:lastPrinted>
  <dcterms:created xsi:type="dcterms:W3CDTF">2008-08-11T14:10:37Z</dcterms:created>
  <dcterms:modified xsi:type="dcterms:W3CDTF">2014-02-02T10:17:00Z</dcterms:modified>
  <cp:category/>
  <cp:version/>
  <cp:contentType/>
  <cp:contentStatus/>
</cp:coreProperties>
</file>