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485" tabRatio="894" activeTab="4"/>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SONUÇ'!$A$1:$H$254</definedName>
    <definedName name="_xlnm.Print_Area" localSheetId="5">'FİNAL'!$A$1:$K$125</definedName>
    <definedName name="_xlnm.Print_Area" localSheetId="1">'START LİSTE'!$A$1:$F$52</definedName>
    <definedName name="_xlnm.Print_Area" localSheetId="3">'TAKIM KAYIT'!$A$1:$O$125</definedName>
    <definedName name="_xlnm.Print_Area" localSheetId="4">'TAKIM SONUÇ'!$A$1:$H$125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<sst xmlns="http://schemas.openxmlformats.org/spreadsheetml/2006/main" count="176" uniqueCount="87">
  <si>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</si>
  <si>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</si>
  <si>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</si>
  <si>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</si>
  <si>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</si>
  <si>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</si>
  <si>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</si>
  <si>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</si>
  <si>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</si>
  <si>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</si>
  <si>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</si>
  <si>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</si>
  <si>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</si>
  <si>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</si>
  <si>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</si>
  <si>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</si>
  <si>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</si>
  <si>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</si>
  <si>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</si>
  <si>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</si>
  <si>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</si>
  <si>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</si>
  <si>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</si>
  <si>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</si>
  <si>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</si>
  <si>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</si>
  <si>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</si>
  <si>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</si>
  <si>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</si>
  <si>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</si>
  <si>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</si>
  <si>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</si>
  <si>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</si>
  <si>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</si>
  <si>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</si>
  <si>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</si>
  <si>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</si>
  <si>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3 km.</t>
  </si>
  <si>
    <t>Yıldız Erkekler</t>
  </si>
  <si>
    <t>Sporcu Sayısı</t>
  </si>
  <si>
    <t>Takım Sayısı</t>
  </si>
  <si>
    <t>Kayseri</t>
  </si>
  <si>
    <t>HÜSEYİN  BOZKUŞ</t>
  </si>
  <si>
    <t>KONYA EREĞLİ ŞEKER SPOR</t>
  </si>
  <si>
    <t>T</t>
  </si>
  <si>
    <t>YUNUS  ÖLGER</t>
  </si>
  <si>
    <t>NECATİ BİNGÖL</t>
  </si>
  <si>
    <t>ABDURRAHMAN  ASLAN</t>
  </si>
  <si>
    <t>BURAK YİĞİT</t>
  </si>
  <si>
    <t>SİVAS-EĞİTİM SPOR</t>
  </si>
  <si>
    <t>EYÜP TUMBUL</t>
  </si>
  <si>
    <t>EMRE ÜNALAN</t>
  </si>
  <si>
    <t>MUSTAFA YILMAZ</t>
  </si>
  <si>
    <t>KIRŞEHİR- KIRŞEHİR LİSESİ S. KLB</t>
  </si>
  <si>
    <t>CEBRAİL CEYLAN</t>
  </si>
  <si>
    <t>YUNUS EMRE BALDEDE</t>
  </si>
  <si>
    <t>ONUR UÇAR</t>
  </si>
  <si>
    <t>FEVZİ ERSAN</t>
  </si>
  <si>
    <t>KIRŞEHİR - BELEDİYE GENÇLİK SP. K.</t>
  </si>
  <si>
    <t>SÜLEYMAN MAMAK</t>
  </si>
  <si>
    <t>HASAN ÇELİK</t>
  </si>
  <si>
    <t>MAHİR DENİZ YİĞİT</t>
  </si>
  <si>
    <t>SAVAŞ ÇAKMAK</t>
  </si>
  <si>
    <t>NEVŞEHİR 100.YIL ÜLFET BAŞER İO SP. KLB.</t>
  </si>
  <si>
    <t>FATİH SABAN</t>
  </si>
  <si>
    <t>FURKAN AÇIKGÖZ</t>
  </si>
  <si>
    <t>MUSTAFA SOYLU</t>
  </si>
  <si>
    <t>BEKİR KABADAYI </t>
  </si>
  <si>
    <t>ANKARA-BB ANKARASPOR</t>
  </si>
  <si>
    <t>OĞUZHAN  FURKAN DEDE</t>
  </si>
  <si>
    <t>NİHAT TOKMAK</t>
  </si>
  <si>
    <t>EDİP ERÇİN</t>
  </si>
  <si>
    <t>NEVŞEHİR GHSİM S.K</t>
  </si>
  <si>
    <t>FURKAN GÜVERCİNLİ</t>
  </si>
  <si>
    <t>ZEKERYA KOCATEPE</t>
  </si>
  <si>
    <t>HAKAN KÖSTEKÇİ</t>
  </si>
  <si>
    <t>AHAT KARATAŞ</t>
  </si>
  <si>
    <t>SPORCU EĞİTİM MERKEZİGENÇLİK VE SPOR KÜLÜBÜ</t>
  </si>
  <si>
    <t>OĞUZHAN OLKUN</t>
  </si>
  <si>
    <t>ESKİŞEHİR BÜYÜKŞEHİR G.S.K</t>
  </si>
  <si>
    <t>YUSUF PEKTAŞ</t>
  </si>
  <si>
    <t>EMRE DOĞAN</t>
  </si>
  <si>
    <t>UMUT BİNİCİ</t>
  </si>
  <si>
    <t>OĞUZHAN TAŞDEMİR</t>
  </si>
  <si>
    <t>SERKAN KOÇAN</t>
  </si>
  <si>
    <t>HÜSEYİN KARACA</t>
  </si>
  <si>
    <t>DNF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</si>
</sst>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0" fontId="66" fillId="28" borderId="50" xfId="0" applyFont="1" applyFill="1" applyBorder="1" applyAlignment="1" applyProtection="1">
      <alignment horizontal="left" vertical="center" wrapText="1"/>
      <protection locked="0"/>
    </xf>
    <xf numFmtId="0" fontId="66"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1" fillId="29" borderId="0" xfId="0" applyFont="1" applyFill="1" applyAlignment="1">
      <alignment horizontal="center" vertical="center" wrapText="1"/>
    </xf>
    <xf numFmtId="180" fontId="68"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54">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7">
      <selection activeCell="H23" sqref="H23"/>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19</v>
      </c>
      <c r="B1" s="159"/>
      <c r="C1" s="160"/>
    </row>
    <row r="2" spans="1:5" ht="28.5" customHeight="1">
      <c r="A2" s="161" t="str">
        <f>CONCATENATE(B27," ","Atletizm İl Temsilciliği")</f>
        <v>Kayseri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Kayseri</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18</v>
      </c>
      <c r="C24" s="155"/>
    </row>
    <row r="25" spans="1:3" ht="21" customHeight="1">
      <c r="A25" s="77" t="s">
        <v>11</v>
      </c>
      <c r="B25" s="154" t="s">
        <v>37</v>
      </c>
      <c r="C25" s="155"/>
    </row>
    <row r="26" spans="1:3" ht="21" customHeight="1">
      <c r="A26" s="78" t="s">
        <v>12</v>
      </c>
      <c r="B26" s="154" t="s">
        <v>38</v>
      </c>
      <c r="C26" s="155"/>
    </row>
    <row r="27" spans="1:3" ht="21" customHeight="1">
      <c r="A27" s="77" t="s">
        <v>13</v>
      </c>
      <c r="B27" s="154" t="s">
        <v>41</v>
      </c>
      <c r="C27" s="155"/>
    </row>
    <row r="28" spans="1:3" ht="21" customHeight="1">
      <c r="A28" s="79" t="s">
        <v>16</v>
      </c>
      <c r="B28" s="156">
        <v>41924.458333333336</v>
      </c>
      <c r="C28" s="157"/>
    </row>
    <row r="29" spans="1:3" ht="21" customHeight="1">
      <c r="A29" s="79" t="s">
        <v>39</v>
      </c>
      <c r="B29" s="153"/>
      <c r="C29" s="152"/>
    </row>
    <row r="30" spans="1:3" ht="21" customHeight="1">
      <c r="A30" s="79" t="s">
        <v>40</v>
      </c>
      <c r="B30" s="153"/>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24">
      <selection activeCell="D54" sqref="D54"/>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Kayseri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Kayseri</v>
      </c>
      <c r="B3" s="175"/>
      <c r="C3" s="175"/>
      <c r="D3" s="175"/>
      <c r="E3" s="175"/>
      <c r="F3" s="175"/>
    </row>
    <row r="4" spans="1:6" ht="15.75" customHeight="1">
      <c r="A4" s="171" t="str">
        <f>KAPAK!B26</f>
        <v>Yıldız Erkekler</v>
      </c>
      <c r="B4" s="171"/>
      <c r="C4" s="171"/>
      <c r="D4" s="47" t="str">
        <f>KAPAK!B25</f>
        <v>3 km.</v>
      </c>
      <c r="E4" s="176">
        <f>KAPAK!B28</f>
        <v>41924.458333333336</v>
      </c>
      <c r="F4" s="176"/>
    </row>
    <row r="5" spans="1:8" s="48" customFormat="1" ht="26.25" thickBot="1">
      <c r="A5" s="120" t="s">
        <v>0</v>
      </c>
      <c r="B5" s="120" t="s">
        <v>1</v>
      </c>
      <c r="C5" s="121" t="s">
        <v>3</v>
      </c>
      <c r="D5" s="120" t="s">
        <v>17</v>
      </c>
      <c r="E5" s="120" t="s">
        <v>8</v>
      </c>
      <c r="F5" s="122" t="s">
        <v>2</v>
      </c>
      <c r="G5" s="49"/>
      <c r="H5" s="49"/>
    </row>
    <row r="6" spans="1:6" ht="15" customHeight="1">
      <c r="A6" s="144">
        <v>1</v>
      </c>
      <c r="B6" s="145">
        <v>430</v>
      </c>
      <c r="C6" s="146" t="s">
        <v>42</v>
      </c>
      <c r="D6" s="146" t="s">
        <v>43</v>
      </c>
      <c r="E6" s="147" t="s">
        <v>44</v>
      </c>
      <c r="F6" s="148">
        <v>35497</v>
      </c>
    </row>
    <row r="7" spans="1:6" ht="15" customHeight="1">
      <c r="A7" s="50">
        <v>2</v>
      </c>
      <c r="B7" s="149">
        <v>431</v>
      </c>
      <c r="C7" s="51" t="s">
        <v>45</v>
      </c>
      <c r="D7" s="51" t="s">
        <v>43</v>
      </c>
      <c r="E7" s="52" t="s">
        <v>44</v>
      </c>
      <c r="F7" s="53">
        <v>35603</v>
      </c>
    </row>
    <row r="8" spans="1:6" ht="15" customHeight="1">
      <c r="A8" s="50">
        <v>3</v>
      </c>
      <c r="B8" s="149">
        <v>432</v>
      </c>
      <c r="C8" s="51" t="s">
        <v>46</v>
      </c>
      <c r="D8" s="51" t="s">
        <v>43</v>
      </c>
      <c r="E8" s="52" t="s">
        <v>44</v>
      </c>
      <c r="F8" s="53">
        <v>35516</v>
      </c>
    </row>
    <row r="9" spans="1:6" ht="15" customHeight="1" thickBot="1">
      <c r="A9" s="50">
        <v>4</v>
      </c>
      <c r="B9" s="150">
        <v>433</v>
      </c>
      <c r="C9" s="54" t="s">
        <v>47</v>
      </c>
      <c r="D9" s="54" t="s">
        <v>43</v>
      </c>
      <c r="E9" s="55" t="s">
        <v>44</v>
      </c>
      <c r="F9" s="56">
        <v>35745</v>
      </c>
    </row>
    <row r="10" spans="1:6" ht="15" customHeight="1">
      <c r="A10" s="50">
        <v>5</v>
      </c>
      <c r="B10" s="145">
        <v>434</v>
      </c>
      <c r="C10" s="146" t="s">
        <v>48</v>
      </c>
      <c r="D10" s="146" t="s">
        <v>49</v>
      </c>
      <c r="E10" s="147" t="s">
        <v>44</v>
      </c>
      <c r="F10" s="148">
        <v>36083</v>
      </c>
    </row>
    <row r="11" spans="1:6" ht="15" customHeight="1">
      <c r="A11" s="50">
        <v>6</v>
      </c>
      <c r="B11" s="149">
        <v>435</v>
      </c>
      <c r="C11" s="51" t="s">
        <v>50</v>
      </c>
      <c r="D11" s="51" t="s">
        <v>49</v>
      </c>
      <c r="E11" s="52" t="s">
        <v>44</v>
      </c>
      <c r="F11" s="53">
        <v>35920</v>
      </c>
    </row>
    <row r="12" spans="1:6" ht="15" customHeight="1">
      <c r="A12" s="50">
        <v>7</v>
      </c>
      <c r="B12" s="149">
        <v>436</v>
      </c>
      <c r="C12" s="51" t="s">
        <v>51</v>
      </c>
      <c r="D12" s="51" t="s">
        <v>49</v>
      </c>
      <c r="E12" s="52" t="s">
        <v>44</v>
      </c>
      <c r="F12" s="53">
        <v>35968</v>
      </c>
    </row>
    <row r="13" spans="1:6" ht="15" customHeight="1" thickBot="1">
      <c r="A13" s="50">
        <v>8</v>
      </c>
      <c r="B13" s="150">
        <v>437</v>
      </c>
      <c r="C13" s="54" t="s">
        <v>84</v>
      </c>
      <c r="D13" s="54" t="s">
        <v>49</v>
      </c>
      <c r="E13" s="55" t="s">
        <v>44</v>
      </c>
      <c r="F13" s="56">
        <v>35442</v>
      </c>
    </row>
    <row r="14" spans="1:6" ht="15" customHeight="1">
      <c r="A14" s="50">
        <v>9</v>
      </c>
      <c r="B14" s="145">
        <v>438</v>
      </c>
      <c r="C14" s="146" t="s">
        <v>52</v>
      </c>
      <c r="D14" s="146" t="s">
        <v>53</v>
      </c>
      <c r="E14" s="147" t="s">
        <v>44</v>
      </c>
      <c r="F14" s="148">
        <v>35718</v>
      </c>
    </row>
    <row r="15" spans="1:6" ht="15" customHeight="1">
      <c r="A15" s="50">
        <v>10</v>
      </c>
      <c r="B15" s="149">
        <v>439</v>
      </c>
      <c r="C15" s="51" t="s">
        <v>54</v>
      </c>
      <c r="D15" s="51" t="s">
        <v>53</v>
      </c>
      <c r="E15" s="52" t="s">
        <v>44</v>
      </c>
      <c r="F15" s="53">
        <v>35805</v>
      </c>
    </row>
    <row r="16" spans="1:6" ht="15" customHeight="1">
      <c r="A16" s="50">
        <v>11</v>
      </c>
      <c r="B16" s="149">
        <v>440</v>
      </c>
      <c r="C16" s="51" t="s">
        <v>55</v>
      </c>
      <c r="D16" s="51" t="s">
        <v>53</v>
      </c>
      <c r="E16" s="52" t="s">
        <v>44</v>
      </c>
      <c r="F16" s="53">
        <v>35899</v>
      </c>
    </row>
    <row r="17" spans="1:6" ht="15" customHeight="1" thickBot="1">
      <c r="A17" s="50">
        <v>12</v>
      </c>
      <c r="B17" s="150">
        <v>441</v>
      </c>
      <c r="C17" s="54" t="s">
        <v>56</v>
      </c>
      <c r="D17" s="54" t="s">
        <v>53</v>
      </c>
      <c r="E17" s="55" t="s">
        <v>44</v>
      </c>
      <c r="F17" s="56">
        <v>35566</v>
      </c>
    </row>
    <row r="18" spans="1:6" ht="15" customHeight="1">
      <c r="A18" s="50">
        <v>13</v>
      </c>
      <c r="B18" s="145">
        <v>442</v>
      </c>
      <c r="C18" s="146" t="s">
        <v>57</v>
      </c>
      <c r="D18" s="146" t="s">
        <v>58</v>
      </c>
      <c r="E18" s="147" t="s">
        <v>44</v>
      </c>
      <c r="F18" s="148">
        <v>35704</v>
      </c>
    </row>
    <row r="19" spans="1:6" ht="15" customHeight="1">
      <c r="A19" s="50">
        <v>14</v>
      </c>
      <c r="B19" s="149">
        <v>443</v>
      </c>
      <c r="C19" s="51" t="s">
        <v>59</v>
      </c>
      <c r="D19" s="51" t="s">
        <v>58</v>
      </c>
      <c r="E19" s="52" t="s">
        <v>44</v>
      </c>
      <c r="F19" s="53">
        <v>36031</v>
      </c>
    </row>
    <row r="20" spans="1:6" ht="15" customHeight="1">
      <c r="A20" s="50">
        <v>15</v>
      </c>
      <c r="B20" s="149">
        <v>444</v>
      </c>
      <c r="C20" s="51" t="s">
        <v>60</v>
      </c>
      <c r="D20" s="51" t="s">
        <v>58</v>
      </c>
      <c r="E20" s="52" t="s">
        <v>44</v>
      </c>
      <c r="F20" s="53">
        <v>35701</v>
      </c>
    </row>
    <row r="21" spans="1:6" ht="15" customHeight="1" thickBot="1">
      <c r="A21" s="50">
        <v>16</v>
      </c>
      <c r="B21" s="150">
        <v>445</v>
      </c>
      <c r="C21" s="54" t="s">
        <v>61</v>
      </c>
      <c r="D21" s="54" t="s">
        <v>58</v>
      </c>
      <c r="E21" s="55" t="s">
        <v>44</v>
      </c>
      <c r="F21" s="56">
        <v>35876</v>
      </c>
    </row>
    <row r="22" spans="1:6" ht="15" customHeight="1">
      <c r="A22" s="50">
        <v>17</v>
      </c>
      <c r="B22" s="145">
        <v>446</v>
      </c>
      <c r="C22" s="146" t="s">
        <v>62</v>
      </c>
      <c r="D22" s="146" t="s">
        <v>63</v>
      </c>
      <c r="E22" s="147" t="s">
        <v>44</v>
      </c>
      <c r="F22" s="148">
        <v>35503</v>
      </c>
    </row>
    <row r="23" spans="1:6" ht="15" customHeight="1">
      <c r="A23" s="50">
        <v>18</v>
      </c>
      <c r="B23" s="149">
        <v>447</v>
      </c>
      <c r="C23" s="51" t="s">
        <v>64</v>
      </c>
      <c r="D23" s="51" t="s">
        <v>63</v>
      </c>
      <c r="E23" s="52" t="s">
        <v>44</v>
      </c>
      <c r="F23" s="53">
        <v>35555</v>
      </c>
    </row>
    <row r="24" spans="1:6" ht="15" customHeight="1">
      <c r="A24" s="50">
        <v>19</v>
      </c>
      <c r="B24" s="149">
        <v>448</v>
      </c>
      <c r="C24" s="51" t="s">
        <v>65</v>
      </c>
      <c r="D24" s="51" t="s">
        <v>63</v>
      </c>
      <c r="E24" s="52" t="s">
        <v>44</v>
      </c>
      <c r="F24" s="53">
        <v>35490</v>
      </c>
    </row>
    <row r="25" spans="1:6" ht="15" customHeight="1" thickBot="1">
      <c r="A25" s="50">
        <v>20</v>
      </c>
      <c r="B25" s="150">
        <v>449</v>
      </c>
      <c r="C25" s="54" t="s">
        <v>66</v>
      </c>
      <c r="D25" s="54" t="s">
        <v>63</v>
      </c>
      <c r="E25" s="55" t="s">
        <v>44</v>
      </c>
      <c r="F25" s="56">
        <v>35525</v>
      </c>
    </row>
    <row r="26" spans="1:6" ht="15" customHeight="1">
      <c r="A26" s="50">
        <v>21</v>
      </c>
      <c r="B26" s="145">
        <v>450</v>
      </c>
      <c r="C26" s="146" t="s">
        <v>67</v>
      </c>
      <c r="D26" s="146" t="s">
        <v>68</v>
      </c>
      <c r="E26" s="147" t="s">
        <v>44</v>
      </c>
      <c r="F26" s="148">
        <v>35886</v>
      </c>
    </row>
    <row r="27" spans="1:6" ht="15" customHeight="1">
      <c r="A27" s="50">
        <v>22</v>
      </c>
      <c r="B27" s="149">
        <v>451</v>
      </c>
      <c r="C27" s="51" t="s">
        <v>69</v>
      </c>
      <c r="D27" s="51" t="s">
        <v>68</v>
      </c>
      <c r="E27" s="52" t="s">
        <v>44</v>
      </c>
      <c r="F27" s="53">
        <v>35529</v>
      </c>
    </row>
    <row r="28" spans="1:6" ht="15" customHeight="1">
      <c r="A28" s="50">
        <v>23</v>
      </c>
      <c r="B28" s="149">
        <v>452</v>
      </c>
      <c r="C28" s="51" t="s">
        <v>70</v>
      </c>
      <c r="D28" s="51" t="s">
        <v>68</v>
      </c>
      <c r="E28" s="52" t="s">
        <v>44</v>
      </c>
      <c r="F28" s="53">
        <v>35723</v>
      </c>
    </row>
    <row r="29" spans="1:6" ht="15" customHeight="1" thickBot="1">
      <c r="A29" s="50">
        <v>24</v>
      </c>
      <c r="B29" s="150">
        <v>453</v>
      </c>
      <c r="C29" s="54" t="s">
        <v>83</v>
      </c>
      <c r="D29" s="54" t="s">
        <v>68</v>
      </c>
      <c r="E29" s="55" t="s">
        <v>44</v>
      </c>
      <c r="F29" s="56">
        <v>35431</v>
      </c>
    </row>
    <row r="30" spans="1:6" ht="15" customHeight="1">
      <c r="A30" s="50">
        <v>25</v>
      </c>
      <c r="B30" s="145">
        <v>454</v>
      </c>
      <c r="C30" s="146" t="s">
        <v>71</v>
      </c>
      <c r="D30" s="146" t="s">
        <v>72</v>
      </c>
      <c r="E30" s="147" t="s">
        <v>44</v>
      </c>
      <c r="F30" s="148">
        <v>35491</v>
      </c>
    </row>
    <row r="31" spans="1:6" ht="15" customHeight="1">
      <c r="A31" s="50">
        <v>26</v>
      </c>
      <c r="B31" s="149">
        <v>455</v>
      </c>
      <c r="C31" s="51" t="s">
        <v>73</v>
      </c>
      <c r="D31" s="51" t="s">
        <v>72</v>
      </c>
      <c r="E31" s="52" t="s">
        <v>44</v>
      </c>
      <c r="F31" s="53">
        <v>35981</v>
      </c>
    </row>
    <row r="32" spans="1:6" ht="15" customHeight="1">
      <c r="A32" s="50">
        <v>27</v>
      </c>
      <c r="B32" s="149">
        <v>456</v>
      </c>
      <c r="C32" s="51" t="s">
        <v>74</v>
      </c>
      <c r="D32" s="51" t="s">
        <v>72</v>
      </c>
      <c r="E32" s="52" t="s">
        <v>44</v>
      </c>
      <c r="F32" s="53">
        <v>36024</v>
      </c>
    </row>
    <row r="33" spans="1:6" ht="15" customHeight="1" thickBot="1">
      <c r="A33" s="50">
        <v>28</v>
      </c>
      <c r="B33" s="150">
        <v>457</v>
      </c>
      <c r="C33" s="54" t="s">
        <v>75</v>
      </c>
      <c r="D33" s="54" t="s">
        <v>72</v>
      </c>
      <c r="E33" s="55" t="s">
        <v>44</v>
      </c>
      <c r="F33" s="56">
        <v>35972</v>
      </c>
    </row>
    <row r="34" spans="1:6" ht="15" customHeight="1">
      <c r="A34" s="50">
        <v>29</v>
      </c>
      <c r="B34" s="145">
        <v>458</v>
      </c>
      <c r="C34" s="146" t="s">
        <v>76</v>
      </c>
      <c r="D34" s="146" t="s">
        <v>77</v>
      </c>
      <c r="E34" s="147" t="s">
        <v>44</v>
      </c>
      <c r="F34" s="148">
        <v>35752</v>
      </c>
    </row>
    <row r="35" spans="1:6" ht="15" customHeight="1">
      <c r="A35" s="50">
        <v>30</v>
      </c>
      <c r="B35" s="149">
        <v>459</v>
      </c>
      <c r="C35" s="51" t="s">
        <v>81</v>
      </c>
      <c r="D35" s="51" t="s">
        <v>77</v>
      </c>
      <c r="E35" s="52" t="s">
        <v>44</v>
      </c>
      <c r="F35" s="53">
        <v>35622</v>
      </c>
    </row>
    <row r="36" spans="1:6" ht="15" customHeight="1">
      <c r="A36" s="50">
        <v>31</v>
      </c>
      <c r="B36" s="149">
        <v>460</v>
      </c>
      <c r="C36" s="51" t="s">
        <v>82</v>
      </c>
      <c r="D36" s="51" t="s">
        <v>77</v>
      </c>
      <c r="E36" s="52" t="s">
        <v>44</v>
      </c>
      <c r="F36" s="53">
        <v>36124</v>
      </c>
    </row>
    <row r="37" spans="1:6" ht="15" customHeight="1" thickBot="1">
      <c r="A37" s="50">
        <v>32</v>
      </c>
      <c r="B37" s="150"/>
      <c r="C37" s="54"/>
      <c r="D37" s="54"/>
      <c r="E37" s="55"/>
      <c r="F37" s="56"/>
    </row>
    <row r="38" spans="1:6" ht="15" customHeight="1">
      <c r="A38" s="50">
        <v>33</v>
      </c>
      <c r="B38" s="145">
        <v>462</v>
      </c>
      <c r="C38" s="146" t="s">
        <v>78</v>
      </c>
      <c r="D38" s="146" t="s">
        <v>79</v>
      </c>
      <c r="E38" s="147" t="s">
        <v>44</v>
      </c>
      <c r="F38" s="148">
        <v>35937</v>
      </c>
    </row>
    <row r="39" spans="1:6" ht="15" customHeight="1">
      <c r="A39" s="50">
        <v>34</v>
      </c>
      <c r="B39" s="149">
        <v>463</v>
      </c>
      <c r="C39" s="51" t="s">
        <v>80</v>
      </c>
      <c r="D39" s="51" t="s">
        <v>79</v>
      </c>
      <c r="E39" s="52" t="s">
        <v>44</v>
      </c>
      <c r="F39" s="53">
        <v>35796</v>
      </c>
    </row>
    <row r="40" spans="1:6" ht="15" customHeight="1">
      <c r="A40" s="50">
        <v>35</v>
      </c>
      <c r="B40" s="149">
        <v>464</v>
      </c>
      <c r="C40" s="51" t="s">
        <v>85</v>
      </c>
      <c r="D40" s="51" t="s">
        <v>79</v>
      </c>
      <c r="E40" s="52" t="s">
        <v>44</v>
      </c>
      <c r="F40" s="53">
        <v>35709</v>
      </c>
    </row>
    <row r="41" spans="1:6" ht="15" customHeight="1" thickBot="1">
      <c r="A41" s="50">
        <v>36</v>
      </c>
      <c r="B41" s="150"/>
      <c r="C41" s="54"/>
      <c r="D41" s="54"/>
      <c r="E41" s="55"/>
      <c r="F41" s="56"/>
    </row>
    <row r="42" spans="1:6" ht="15" customHeight="1">
      <c r="A42" s="50">
        <v>37</v>
      </c>
      <c r="B42" s="145"/>
      <c r="C42" s="146"/>
      <c r="D42" s="146"/>
      <c r="E42" s="147"/>
      <c r="F42" s="148"/>
    </row>
    <row r="43" spans="1:6" ht="15" customHeight="1">
      <c r="A43" s="50">
        <v>38</v>
      </c>
      <c r="B43" s="149"/>
      <c r="C43" s="51"/>
      <c r="D43" s="51"/>
      <c r="E43" s="52"/>
      <c r="F43" s="53"/>
    </row>
    <row r="44" spans="1:6" ht="15" customHeight="1">
      <c r="A44" s="50">
        <v>39</v>
      </c>
      <c r="B44" s="149"/>
      <c r="C44" s="51"/>
      <c r="D44" s="51"/>
      <c r="E44" s="52"/>
      <c r="F44" s="53"/>
    </row>
    <row r="45" spans="1:6" ht="15" customHeight="1" thickBot="1">
      <c r="A45" s="50">
        <v>40</v>
      </c>
      <c r="B45" s="150"/>
      <c r="C45" s="54"/>
      <c r="D45" s="54"/>
      <c r="E45" s="55"/>
      <c r="F45" s="56"/>
    </row>
    <row r="46" spans="1:6" ht="15" customHeight="1">
      <c r="A46" s="50">
        <v>41</v>
      </c>
      <c r="B46" s="145"/>
      <c r="C46" s="146"/>
      <c r="D46" s="146"/>
      <c r="E46" s="147"/>
      <c r="F46" s="148"/>
    </row>
    <row r="47" spans="1:6" ht="15" customHeight="1">
      <c r="A47" s="50">
        <v>42</v>
      </c>
      <c r="B47" s="149"/>
      <c r="C47" s="51"/>
      <c r="D47" s="51"/>
      <c r="E47" s="52"/>
      <c r="F47" s="53"/>
    </row>
    <row r="48" spans="1:6" ht="15" customHeight="1">
      <c r="A48" s="50">
        <v>43</v>
      </c>
      <c r="B48" s="149"/>
      <c r="C48" s="51"/>
      <c r="D48" s="51"/>
      <c r="E48" s="52"/>
      <c r="F48" s="53"/>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27" dxfId="652">
      <formula>AND(COUNTIF($C$6:$C$9,C6)&gt;1,NOT(ISBLANK(C6)))</formula>
    </cfRule>
  </conditionalFormatting>
  <conditionalFormatting sqref="C10:C13">
    <cfRule type="duplicateValues" priority="125" dxfId="652">
      <formula>AND(COUNTIF($C$10:$C$13,C10)&gt;1,NOT(ISBLANK(C10)))</formula>
    </cfRule>
  </conditionalFormatting>
  <conditionalFormatting sqref="C14:C17">
    <cfRule type="duplicateValues" priority="123" dxfId="652">
      <formula>AND(COUNTIF($C$14:$C$17,C14)&gt;1,NOT(ISBLANK(C14)))</formula>
    </cfRule>
  </conditionalFormatting>
  <conditionalFormatting sqref="C18:C21">
    <cfRule type="duplicateValues" priority="121" dxfId="652">
      <formula>AND(COUNTIF($C$18:$C$21,C18)&gt;1,NOT(ISBLANK(C18)))</formula>
    </cfRule>
  </conditionalFormatting>
  <conditionalFormatting sqref="C22:C25">
    <cfRule type="duplicateValues" priority="119" dxfId="652">
      <formula>AND(COUNTIF($C$22:$C$25,C22)&gt;1,NOT(ISBLANK(C22)))</formula>
    </cfRule>
  </conditionalFormatting>
  <conditionalFormatting sqref="C26:C29">
    <cfRule type="duplicateValues" priority="117" dxfId="652">
      <formula>AND(COUNTIF($C$26:$C$29,C26)&gt;1,NOT(ISBLANK(C26)))</formula>
    </cfRule>
  </conditionalFormatting>
  <conditionalFormatting sqref="C30:C33">
    <cfRule type="duplicateValues" priority="115" dxfId="652">
      <formula>AND(COUNTIF($C$30:$C$33,C30)&gt;1,NOT(ISBLANK(C30)))</formula>
    </cfRule>
  </conditionalFormatting>
  <conditionalFormatting sqref="C34:C37">
    <cfRule type="duplicateValues" priority="113" dxfId="652">
      <formula>AND(COUNTIF($C$34:$C$37,C34)&gt;1,NOT(ISBLANK(C34)))</formula>
    </cfRule>
  </conditionalFormatting>
  <conditionalFormatting sqref="B41">
    <cfRule type="duplicateValues" priority="112" dxfId="652" stopIfTrue="1">
      <formula>AND(COUNTIF($B$41:$B$41,B41)&gt;1,NOT(ISBLANK(B41)))</formula>
    </cfRule>
  </conditionalFormatting>
  <conditionalFormatting sqref="C38:C41">
    <cfRule type="duplicateValues" priority="111" dxfId="652">
      <formula>AND(COUNTIF($C$38:$C$41,C38)&gt;1,NOT(ISBLANK(C38)))</formula>
    </cfRule>
  </conditionalFormatting>
  <conditionalFormatting sqref="B42:B45">
    <cfRule type="duplicateValues" priority="110" dxfId="652" stopIfTrue="1">
      <formula>AND(COUNTIF($B$42:$B$45,B42)&gt;1,NOT(ISBLANK(B42)))</formula>
    </cfRule>
  </conditionalFormatting>
  <conditionalFormatting sqref="C42:C45">
    <cfRule type="duplicateValues" priority="109" dxfId="652">
      <formula>AND(COUNTIF($C$42:$C$45,C42)&gt;1,NOT(ISBLANK(C42)))</formula>
    </cfRule>
  </conditionalFormatting>
  <conditionalFormatting sqref="B46:B49">
    <cfRule type="duplicateValues" priority="108" dxfId="652" stopIfTrue="1">
      <formula>AND(COUNTIF($B$46:$B$49,B46)&gt;1,NOT(ISBLANK(B46)))</formula>
    </cfRule>
  </conditionalFormatting>
  <conditionalFormatting sqref="C46:C49">
    <cfRule type="duplicateValues" priority="107" dxfId="652">
      <formula>AND(COUNTIF($C$46:$C$49,C46)&gt;1,NOT(ISBLANK(C46)))</formula>
    </cfRule>
  </conditionalFormatting>
  <conditionalFormatting sqref="B50:B53">
    <cfRule type="duplicateValues" priority="106" dxfId="652" stopIfTrue="1">
      <formula>AND(COUNTIF($B$50:$B$53,B50)&gt;1,NOT(ISBLANK(B50)))</formula>
    </cfRule>
  </conditionalFormatting>
  <conditionalFormatting sqref="C50:C53">
    <cfRule type="duplicateValues" priority="105" dxfId="652">
      <formula>AND(COUNTIF($C$50:$C$53,C50)&gt;1,NOT(ISBLANK(C50)))</formula>
    </cfRule>
  </conditionalFormatting>
  <conditionalFormatting sqref="B54:B57">
    <cfRule type="duplicateValues" priority="104" dxfId="652" stopIfTrue="1">
      <formula>AND(COUNTIF($B$54:$B$57,B54)&gt;1,NOT(ISBLANK(B54)))</formula>
    </cfRule>
  </conditionalFormatting>
  <conditionalFormatting sqref="C54:C57">
    <cfRule type="duplicateValues" priority="103" dxfId="652">
      <formula>AND(COUNTIF($C$54:$C$57,C54)&gt;1,NOT(ISBLANK(C54)))</formula>
    </cfRule>
  </conditionalFormatting>
  <conditionalFormatting sqref="B58:B61">
    <cfRule type="duplicateValues" priority="102" dxfId="652" stopIfTrue="1">
      <formula>AND(COUNTIF($B$58:$B$61,B58)&gt;1,NOT(ISBLANK(B58)))</formula>
    </cfRule>
  </conditionalFormatting>
  <conditionalFormatting sqref="C58:C61">
    <cfRule type="duplicateValues" priority="101" dxfId="652">
      <formula>AND(COUNTIF($C$58:$C$61,C58)&gt;1,NOT(ISBLANK(C58)))</formula>
    </cfRule>
  </conditionalFormatting>
  <conditionalFormatting sqref="B62:B65">
    <cfRule type="duplicateValues" priority="100" dxfId="652" stopIfTrue="1">
      <formula>AND(COUNTIF($B$62:$B$65,B62)&gt;1,NOT(ISBLANK(B62)))</formula>
    </cfRule>
  </conditionalFormatting>
  <conditionalFormatting sqref="C62:C65">
    <cfRule type="duplicateValues" priority="99" dxfId="652">
      <formula>AND(COUNTIF($C$62:$C$65,C62)&gt;1,NOT(ISBLANK(C62)))</formula>
    </cfRule>
  </conditionalFormatting>
  <conditionalFormatting sqref="B66:B69">
    <cfRule type="duplicateValues" priority="98" dxfId="652" stopIfTrue="1">
      <formula>AND(COUNTIF($B$66:$B$69,B66)&gt;1,NOT(ISBLANK(B66)))</formula>
    </cfRule>
  </conditionalFormatting>
  <conditionalFormatting sqref="C66:C69">
    <cfRule type="duplicateValues" priority="97" dxfId="652">
      <formula>AND(COUNTIF($C$66:$C$69,C66)&gt;1,NOT(ISBLANK(C66)))</formula>
    </cfRule>
  </conditionalFormatting>
  <conditionalFormatting sqref="B70:B73">
    <cfRule type="duplicateValues" priority="96" dxfId="652" stopIfTrue="1">
      <formula>AND(COUNTIF($B$70:$B$73,B70)&gt;1,NOT(ISBLANK(B70)))</formula>
    </cfRule>
  </conditionalFormatting>
  <conditionalFormatting sqref="C70:C73">
    <cfRule type="duplicateValues" priority="95" dxfId="652">
      <formula>AND(COUNTIF($C$70:$C$73,C70)&gt;1,NOT(ISBLANK(C70)))</formula>
    </cfRule>
  </conditionalFormatting>
  <conditionalFormatting sqref="B74:B77">
    <cfRule type="duplicateValues" priority="94" dxfId="652" stopIfTrue="1">
      <formula>AND(COUNTIF($B$74:$B$77,B74)&gt;1,NOT(ISBLANK(B74)))</formula>
    </cfRule>
  </conditionalFormatting>
  <conditionalFormatting sqref="C74:C77">
    <cfRule type="duplicateValues" priority="93" dxfId="652">
      <formula>AND(COUNTIF($C$74:$C$77,C74)&gt;1,NOT(ISBLANK(C74)))</formula>
    </cfRule>
  </conditionalFormatting>
  <conditionalFormatting sqref="B78:B81">
    <cfRule type="duplicateValues" priority="92" dxfId="652" stopIfTrue="1">
      <formula>AND(COUNTIF($B$78:$B$81,B78)&gt;1,NOT(ISBLANK(B78)))</formula>
    </cfRule>
  </conditionalFormatting>
  <conditionalFormatting sqref="C78:C81">
    <cfRule type="duplicateValues" priority="91" dxfId="652">
      <formula>AND(COUNTIF($C$78:$C$81,C78)&gt;1,NOT(ISBLANK(C78)))</formula>
    </cfRule>
  </conditionalFormatting>
  <conditionalFormatting sqref="B82:B85">
    <cfRule type="duplicateValues" priority="90" dxfId="652" stopIfTrue="1">
      <formula>AND(COUNTIF($B$82:$B$85,B82)&gt;1,NOT(ISBLANK(B82)))</formula>
    </cfRule>
  </conditionalFormatting>
  <conditionalFormatting sqref="C82:C85">
    <cfRule type="duplicateValues" priority="89" dxfId="652">
      <formula>AND(COUNTIF($C$82:$C$85,C82)&gt;1,NOT(ISBLANK(C82)))</formula>
    </cfRule>
  </conditionalFormatting>
  <conditionalFormatting sqref="B86:B89">
    <cfRule type="duplicateValues" priority="88" dxfId="652" stopIfTrue="1">
      <formula>AND(COUNTIF($B$86:$B$89,B86)&gt;1,NOT(ISBLANK(B86)))</formula>
    </cfRule>
  </conditionalFormatting>
  <conditionalFormatting sqref="C86:C89">
    <cfRule type="duplicateValues" priority="87" dxfId="652">
      <formula>AND(COUNTIF($C$86:$C$89,C86)&gt;1,NOT(ISBLANK(C86)))</formula>
    </cfRule>
  </conditionalFormatting>
  <conditionalFormatting sqref="B90:B93">
    <cfRule type="duplicateValues" priority="86" dxfId="652" stopIfTrue="1">
      <formula>AND(COUNTIF($B$90:$B$93,B90)&gt;1,NOT(ISBLANK(B90)))</formula>
    </cfRule>
  </conditionalFormatting>
  <conditionalFormatting sqref="C90:C93">
    <cfRule type="duplicateValues" priority="85" dxfId="652">
      <formula>AND(COUNTIF($C$90:$C$93,C90)&gt;1,NOT(ISBLANK(C90)))</formula>
    </cfRule>
  </conditionalFormatting>
  <conditionalFormatting sqref="B94:B97">
    <cfRule type="duplicateValues" priority="84" dxfId="652" stopIfTrue="1">
      <formula>AND(COUNTIF($B$94:$B$97,B94)&gt;1,NOT(ISBLANK(B94)))</formula>
    </cfRule>
  </conditionalFormatting>
  <conditionalFormatting sqref="C94:C97">
    <cfRule type="duplicateValues" priority="83" dxfId="652">
      <formula>AND(COUNTIF($C$94:$C$97,C94)&gt;1,NOT(ISBLANK(C94)))</formula>
    </cfRule>
  </conditionalFormatting>
  <conditionalFormatting sqref="B98:B101">
    <cfRule type="duplicateValues" priority="82" dxfId="652" stopIfTrue="1">
      <formula>AND(COUNTIF($B$98:$B$101,B98)&gt;1,NOT(ISBLANK(B98)))</formula>
    </cfRule>
  </conditionalFormatting>
  <conditionalFormatting sqref="C98:C101">
    <cfRule type="duplicateValues" priority="81" dxfId="652">
      <formula>AND(COUNTIF($C$98:$C$101,C98)&gt;1,NOT(ISBLANK(C98)))</formula>
    </cfRule>
  </conditionalFormatting>
  <conditionalFormatting sqref="B102:B105">
    <cfRule type="duplicateValues" priority="80" dxfId="652" stopIfTrue="1">
      <formula>AND(COUNTIF($B$102:$B$105,B102)&gt;1,NOT(ISBLANK(B102)))</formula>
    </cfRule>
  </conditionalFormatting>
  <conditionalFormatting sqref="C102:C105">
    <cfRule type="duplicateValues" priority="79" dxfId="652">
      <formula>AND(COUNTIF($C$102:$C$105,C102)&gt;1,NOT(ISBLANK(C102)))</formula>
    </cfRule>
  </conditionalFormatting>
  <conditionalFormatting sqref="B106:B109">
    <cfRule type="duplicateValues" priority="78" dxfId="652" stopIfTrue="1">
      <formula>AND(COUNTIF($B$106:$B$109,B106)&gt;1,NOT(ISBLANK(B106)))</formula>
    </cfRule>
  </conditionalFormatting>
  <conditionalFormatting sqref="C106:C109">
    <cfRule type="duplicateValues" priority="77" dxfId="652">
      <formula>AND(COUNTIF($C$106:$C$109,C106)&gt;1,NOT(ISBLANK(C106)))</formula>
    </cfRule>
  </conditionalFormatting>
  <conditionalFormatting sqref="B110:B113">
    <cfRule type="duplicateValues" priority="76" dxfId="652" stopIfTrue="1">
      <formula>AND(COUNTIF($B$110:$B$113,B110)&gt;1,NOT(ISBLANK(B110)))</formula>
    </cfRule>
  </conditionalFormatting>
  <conditionalFormatting sqref="C110:C113">
    <cfRule type="duplicateValues" priority="75" dxfId="652">
      <formula>AND(COUNTIF($C$110:$C$113,C110)&gt;1,NOT(ISBLANK(C110)))</formula>
    </cfRule>
  </conditionalFormatting>
  <conditionalFormatting sqref="B114:B117">
    <cfRule type="duplicateValues" priority="74" dxfId="652" stopIfTrue="1">
      <formula>AND(COUNTIF($B$114:$B$117,B114)&gt;1,NOT(ISBLANK(B114)))</formula>
    </cfRule>
  </conditionalFormatting>
  <conditionalFormatting sqref="C114:C117">
    <cfRule type="duplicateValues" priority="73" dxfId="652">
      <formula>AND(COUNTIF($C$114:$C$117,C114)&gt;1,NOT(ISBLANK(C114)))</formula>
    </cfRule>
  </conditionalFormatting>
  <conditionalFormatting sqref="B118:B121">
    <cfRule type="duplicateValues" priority="72" dxfId="652" stopIfTrue="1">
      <formula>AND(COUNTIF($B$118:$B$121,B118)&gt;1,NOT(ISBLANK(B118)))</formula>
    </cfRule>
  </conditionalFormatting>
  <conditionalFormatting sqref="C118:C121">
    <cfRule type="duplicateValues" priority="71" dxfId="652">
      <formula>AND(COUNTIF($C$118:$C$121,C118)&gt;1,NOT(ISBLANK(C118)))</formula>
    </cfRule>
  </conditionalFormatting>
  <conditionalFormatting sqref="B122:B125">
    <cfRule type="duplicateValues" priority="70" dxfId="652" stopIfTrue="1">
      <formula>AND(COUNTIF($B$122:$B$125,B122)&gt;1,NOT(ISBLANK(B122)))</formula>
    </cfRule>
  </conditionalFormatting>
  <conditionalFormatting sqref="C122:C125">
    <cfRule type="duplicateValues" priority="69" dxfId="652">
      <formula>AND(COUNTIF($C$122:$C$125,C122)&gt;1,NOT(ISBLANK(C122)))</formula>
    </cfRule>
  </conditionalFormatting>
  <conditionalFormatting sqref="B126:B129">
    <cfRule type="duplicateValues" priority="68" dxfId="652" stopIfTrue="1">
      <formula>AND(COUNTIF($B$126:$B$129,B126)&gt;1,NOT(ISBLANK(B126)))</formula>
    </cfRule>
  </conditionalFormatting>
  <conditionalFormatting sqref="C126:C129">
    <cfRule type="duplicateValues" priority="67" dxfId="652">
      <formula>AND(COUNTIF($C$126:$C$129,C126)&gt;1,NOT(ISBLANK(C126)))</formula>
    </cfRule>
  </conditionalFormatting>
  <conditionalFormatting sqref="B130:B133">
    <cfRule type="duplicateValues" priority="66" dxfId="652" stopIfTrue="1">
      <formula>AND(COUNTIF($B$130:$B$133,B130)&gt;1,NOT(ISBLANK(B130)))</formula>
    </cfRule>
  </conditionalFormatting>
  <conditionalFormatting sqref="C130:C133">
    <cfRule type="duplicateValues" priority="65" dxfId="652">
      <formula>AND(COUNTIF($C$130:$C$133,C130)&gt;1,NOT(ISBLANK(C130)))</formula>
    </cfRule>
  </conditionalFormatting>
  <conditionalFormatting sqref="B134:B137">
    <cfRule type="duplicateValues" priority="64" dxfId="652" stopIfTrue="1">
      <formula>AND(COUNTIF($B$134:$B$137,B134)&gt;1,NOT(ISBLANK(B134)))</formula>
    </cfRule>
  </conditionalFormatting>
  <conditionalFormatting sqref="C134:C137">
    <cfRule type="duplicateValues" priority="63" dxfId="652">
      <formula>AND(COUNTIF($C$134:$C$137,C134)&gt;1,NOT(ISBLANK(C134)))</formula>
    </cfRule>
  </conditionalFormatting>
  <conditionalFormatting sqref="B138:B141">
    <cfRule type="duplicateValues" priority="62" dxfId="652" stopIfTrue="1">
      <formula>AND(COUNTIF($B$138:$B$141,B138)&gt;1,NOT(ISBLANK(B138)))</formula>
    </cfRule>
  </conditionalFormatting>
  <conditionalFormatting sqref="C138:C141">
    <cfRule type="duplicateValues" priority="61" dxfId="652">
      <formula>AND(COUNTIF($C$138:$C$141,C138)&gt;1,NOT(ISBLANK(C138)))</formula>
    </cfRule>
  </conditionalFormatting>
  <conditionalFormatting sqref="B142:B145">
    <cfRule type="duplicateValues" priority="60" dxfId="652" stopIfTrue="1">
      <formula>AND(COUNTIF($B$142:$B$145,B142)&gt;1,NOT(ISBLANK(B142)))</formula>
    </cfRule>
  </conditionalFormatting>
  <conditionalFormatting sqref="C142:C145">
    <cfRule type="duplicateValues" priority="59" dxfId="652">
      <formula>AND(COUNTIF($C$142:$C$145,C142)&gt;1,NOT(ISBLANK(C142)))</formula>
    </cfRule>
  </conditionalFormatting>
  <conditionalFormatting sqref="B146:B149">
    <cfRule type="duplicateValues" priority="58" dxfId="652" stopIfTrue="1">
      <formula>AND(COUNTIF($B$146:$B$149,B146)&gt;1,NOT(ISBLANK(B146)))</formula>
    </cfRule>
  </conditionalFormatting>
  <conditionalFormatting sqref="C146:C149">
    <cfRule type="duplicateValues" priority="57" dxfId="652">
      <formula>AND(COUNTIF($C$146:$C$149,C146)&gt;1,NOT(ISBLANK(C146)))</formula>
    </cfRule>
  </conditionalFormatting>
  <conditionalFormatting sqref="B150:B153">
    <cfRule type="duplicateValues" priority="56" dxfId="652" stopIfTrue="1">
      <formula>AND(COUNTIF($B$150:$B$153,B150)&gt;1,NOT(ISBLANK(B150)))</formula>
    </cfRule>
  </conditionalFormatting>
  <conditionalFormatting sqref="C150:C153">
    <cfRule type="duplicateValues" priority="55" dxfId="652">
      <formula>AND(COUNTIF($C$150:$C$153,C150)&gt;1,NOT(ISBLANK(C150)))</formula>
    </cfRule>
  </conditionalFormatting>
  <conditionalFormatting sqref="B154:B157">
    <cfRule type="duplicateValues" priority="54" dxfId="652" stopIfTrue="1">
      <formula>AND(COUNTIF($B$154:$B$157,B154)&gt;1,NOT(ISBLANK(B154)))</formula>
    </cfRule>
  </conditionalFormatting>
  <conditionalFormatting sqref="C154:C157">
    <cfRule type="duplicateValues" priority="53" dxfId="652">
      <formula>AND(COUNTIF($C$154:$C$157,C154)&gt;1,NOT(ISBLANK(C154)))</formula>
    </cfRule>
  </conditionalFormatting>
  <conditionalFormatting sqref="B158:B161">
    <cfRule type="duplicateValues" priority="52" dxfId="652" stopIfTrue="1">
      <formula>AND(COUNTIF($B$158:$B$161,B158)&gt;1,NOT(ISBLANK(B158)))</formula>
    </cfRule>
  </conditionalFormatting>
  <conditionalFormatting sqref="C158:C161">
    <cfRule type="duplicateValues" priority="51" dxfId="652">
      <formula>AND(COUNTIF($C$158:$C$161,C158)&gt;1,NOT(ISBLANK(C158)))</formula>
    </cfRule>
  </conditionalFormatting>
  <conditionalFormatting sqref="B162:B165">
    <cfRule type="duplicateValues" priority="50" dxfId="652" stopIfTrue="1">
      <formula>AND(COUNTIF($B$162:$B$165,B162)&gt;1,NOT(ISBLANK(B162)))</formula>
    </cfRule>
  </conditionalFormatting>
  <conditionalFormatting sqref="C162:C165">
    <cfRule type="duplicateValues" priority="49" dxfId="652">
      <formula>AND(COUNTIF($C$162:$C$165,C162)&gt;1,NOT(ISBLANK(C162)))</formula>
    </cfRule>
  </conditionalFormatting>
  <conditionalFormatting sqref="B166:B169">
    <cfRule type="duplicateValues" priority="48" dxfId="652" stopIfTrue="1">
      <formula>AND(COUNTIF($B$166:$B$169,B166)&gt;1,NOT(ISBLANK(B166)))</formula>
    </cfRule>
  </conditionalFormatting>
  <conditionalFormatting sqref="C166:C169">
    <cfRule type="duplicateValues" priority="47" dxfId="652">
      <formula>AND(COUNTIF($C$166:$C$169,C166)&gt;1,NOT(ISBLANK(C166)))</formula>
    </cfRule>
  </conditionalFormatting>
  <conditionalFormatting sqref="B170:B173">
    <cfRule type="duplicateValues" priority="46" dxfId="652" stopIfTrue="1">
      <formula>AND(COUNTIF($B$170:$B$173,B170)&gt;1,NOT(ISBLANK(B170)))</formula>
    </cfRule>
  </conditionalFormatting>
  <conditionalFormatting sqref="C170:C173">
    <cfRule type="duplicateValues" priority="45" dxfId="652">
      <formula>AND(COUNTIF($C$170:$C$173,C170)&gt;1,NOT(ISBLANK(C170)))</formula>
    </cfRule>
  </conditionalFormatting>
  <conditionalFormatting sqref="B174:B177">
    <cfRule type="duplicateValues" priority="44" dxfId="652" stopIfTrue="1">
      <formula>AND(COUNTIF($B$174:$B$177,B174)&gt;1,NOT(ISBLANK(B174)))</formula>
    </cfRule>
  </conditionalFormatting>
  <conditionalFormatting sqref="C174:C177">
    <cfRule type="duplicateValues" priority="43" dxfId="652">
      <formula>AND(COUNTIF($C$174:$C$177,C174)&gt;1,NOT(ISBLANK(C174)))</formula>
    </cfRule>
  </conditionalFormatting>
  <conditionalFormatting sqref="B178:B181">
    <cfRule type="duplicateValues" priority="42" dxfId="652" stopIfTrue="1">
      <formula>AND(COUNTIF($B$178:$B$181,B178)&gt;1,NOT(ISBLANK(B178)))</formula>
    </cfRule>
  </conditionalFormatting>
  <conditionalFormatting sqref="C178:C181">
    <cfRule type="duplicateValues" priority="41" dxfId="652">
      <formula>AND(COUNTIF($C$178:$C$181,C178)&gt;1,NOT(ISBLANK(C178)))</formula>
    </cfRule>
  </conditionalFormatting>
  <conditionalFormatting sqref="B182:B185">
    <cfRule type="duplicateValues" priority="40" dxfId="652" stopIfTrue="1">
      <formula>AND(COUNTIF($B$182:$B$185,B182)&gt;1,NOT(ISBLANK(B182)))</formula>
    </cfRule>
  </conditionalFormatting>
  <conditionalFormatting sqref="C182:C185">
    <cfRule type="duplicateValues" priority="39" dxfId="652">
      <formula>AND(COUNTIF($C$182:$C$185,C182)&gt;1,NOT(ISBLANK(C182)))</formula>
    </cfRule>
  </conditionalFormatting>
  <conditionalFormatting sqref="B186:B189">
    <cfRule type="duplicateValues" priority="38" dxfId="652" stopIfTrue="1">
      <formula>AND(COUNTIF($B$186:$B$189,B186)&gt;1,NOT(ISBLANK(B186)))</formula>
    </cfRule>
  </conditionalFormatting>
  <conditionalFormatting sqref="C186:C189">
    <cfRule type="duplicateValues" priority="37" dxfId="652">
      <formula>AND(COUNTIF($C$186:$C$189,C186)&gt;1,NOT(ISBLANK(C186)))</formula>
    </cfRule>
  </conditionalFormatting>
  <conditionalFormatting sqref="B190:B193">
    <cfRule type="duplicateValues" priority="36" dxfId="652" stopIfTrue="1">
      <formula>AND(COUNTIF($B$190:$B$193,B190)&gt;1,NOT(ISBLANK(B190)))</formula>
    </cfRule>
  </conditionalFormatting>
  <conditionalFormatting sqref="C190:C193">
    <cfRule type="duplicateValues" priority="35" dxfId="652">
      <formula>AND(COUNTIF($C$190:$C$193,C190)&gt;1,NOT(ISBLANK(C190)))</formula>
    </cfRule>
  </conditionalFormatting>
  <conditionalFormatting sqref="B194:B197">
    <cfRule type="duplicateValues" priority="34" dxfId="652" stopIfTrue="1">
      <formula>AND(COUNTIF($B$194:$B$197,B194)&gt;1,NOT(ISBLANK(B194)))</formula>
    </cfRule>
  </conditionalFormatting>
  <conditionalFormatting sqref="C194:C197">
    <cfRule type="duplicateValues" priority="33" dxfId="652">
      <formula>AND(COUNTIF($C$194:$C$197,C194)&gt;1,NOT(ISBLANK(C194)))</formula>
    </cfRule>
  </conditionalFormatting>
  <conditionalFormatting sqref="B198:B201">
    <cfRule type="duplicateValues" priority="32" dxfId="652" stopIfTrue="1">
      <formula>AND(COUNTIF($B$198:$B$201,B198)&gt;1,NOT(ISBLANK(B198)))</formula>
    </cfRule>
  </conditionalFormatting>
  <conditionalFormatting sqref="C198:C201">
    <cfRule type="duplicateValues" priority="31" dxfId="652">
      <formula>AND(COUNTIF($C$198:$C$201,C198)&gt;1,NOT(ISBLANK(C198)))</formula>
    </cfRule>
  </conditionalFormatting>
  <conditionalFormatting sqref="B202:B205">
    <cfRule type="duplicateValues" priority="30" dxfId="652" stopIfTrue="1">
      <formula>AND(COUNTIF($B$202:$B$205,B202)&gt;1,NOT(ISBLANK(B202)))</formula>
    </cfRule>
  </conditionalFormatting>
  <conditionalFormatting sqref="C202:C205">
    <cfRule type="duplicateValues" priority="29" dxfId="652">
      <formula>AND(COUNTIF($C$202:$C$205,C202)&gt;1,NOT(ISBLANK(C202)))</formula>
    </cfRule>
  </conditionalFormatting>
  <conditionalFormatting sqref="B206:B209">
    <cfRule type="duplicateValues" priority="28" dxfId="652" stopIfTrue="1">
      <formula>AND(COUNTIF($B$206:$B$209,B206)&gt;1,NOT(ISBLANK(B206)))</formula>
    </cfRule>
  </conditionalFormatting>
  <conditionalFormatting sqref="C206:C209">
    <cfRule type="duplicateValues" priority="27" dxfId="652">
      <formula>AND(COUNTIF($C$206:$C$209,C206)&gt;1,NOT(ISBLANK(C206)))</formula>
    </cfRule>
  </conditionalFormatting>
  <conditionalFormatting sqref="B210:B213">
    <cfRule type="duplicateValues" priority="26" dxfId="652" stopIfTrue="1">
      <formula>AND(COUNTIF($B$210:$B$213,B210)&gt;1,NOT(ISBLANK(B210)))</formula>
    </cfRule>
  </conditionalFormatting>
  <conditionalFormatting sqref="C210:C213">
    <cfRule type="duplicateValues" priority="25" dxfId="652">
      <formula>AND(COUNTIF($C$210:$C$213,C210)&gt;1,NOT(ISBLANK(C210)))</formula>
    </cfRule>
  </conditionalFormatting>
  <conditionalFormatting sqref="B214:B217">
    <cfRule type="duplicateValues" priority="24" dxfId="652" stopIfTrue="1">
      <formula>AND(COUNTIF($B$214:$B$217,B214)&gt;1,NOT(ISBLANK(B214)))</formula>
    </cfRule>
  </conditionalFormatting>
  <conditionalFormatting sqref="C214:C217">
    <cfRule type="duplicateValues" priority="23" dxfId="652">
      <formula>AND(COUNTIF($C$214:$C$217,C214)&gt;1,NOT(ISBLANK(C214)))</formula>
    </cfRule>
  </conditionalFormatting>
  <conditionalFormatting sqref="B218:B221">
    <cfRule type="duplicateValues" priority="22" dxfId="652" stopIfTrue="1">
      <formula>AND(COUNTIF($B$218:$B$221,B218)&gt;1,NOT(ISBLANK(B218)))</formula>
    </cfRule>
  </conditionalFormatting>
  <conditionalFormatting sqref="C218:C221">
    <cfRule type="duplicateValues" priority="21" dxfId="652">
      <formula>AND(COUNTIF($C$218:$C$221,C218)&gt;1,NOT(ISBLANK(C218)))</formula>
    </cfRule>
  </conditionalFormatting>
  <conditionalFormatting sqref="B222:B225">
    <cfRule type="duplicateValues" priority="20" dxfId="652" stopIfTrue="1">
      <formula>AND(COUNTIF($B$222:$B$225,B222)&gt;1,NOT(ISBLANK(B222)))</formula>
    </cfRule>
  </conditionalFormatting>
  <conditionalFormatting sqref="C222:C225">
    <cfRule type="duplicateValues" priority="19" dxfId="652">
      <formula>AND(COUNTIF($C$222:$C$225,C222)&gt;1,NOT(ISBLANK(C222)))</formula>
    </cfRule>
  </conditionalFormatting>
  <conditionalFormatting sqref="B226:B229">
    <cfRule type="duplicateValues" priority="18" dxfId="652" stopIfTrue="1">
      <formula>AND(COUNTIF($B$226:$B$229,B226)&gt;1,NOT(ISBLANK(B226)))</formula>
    </cfRule>
  </conditionalFormatting>
  <conditionalFormatting sqref="C226:C229">
    <cfRule type="duplicateValues" priority="17" dxfId="652">
      <formula>AND(COUNTIF($C$226:$C$229,C226)&gt;1,NOT(ISBLANK(C226)))</formula>
    </cfRule>
  </conditionalFormatting>
  <conditionalFormatting sqref="B230:B233">
    <cfRule type="duplicateValues" priority="16" dxfId="652" stopIfTrue="1">
      <formula>AND(COUNTIF($B$230:$B$233,B230)&gt;1,NOT(ISBLANK(B230)))</formula>
    </cfRule>
  </conditionalFormatting>
  <conditionalFormatting sqref="C230:C233">
    <cfRule type="duplicateValues" priority="15" dxfId="652">
      <formula>AND(COUNTIF($C$230:$C$233,C230)&gt;1,NOT(ISBLANK(C230)))</formula>
    </cfRule>
  </conditionalFormatting>
  <conditionalFormatting sqref="B234:B237">
    <cfRule type="duplicateValues" priority="14" dxfId="652" stopIfTrue="1">
      <formula>AND(COUNTIF($B$234:$B$237,B234)&gt;1,NOT(ISBLANK(B234)))</formula>
    </cfRule>
  </conditionalFormatting>
  <conditionalFormatting sqref="C234:C237">
    <cfRule type="duplicateValues" priority="13" dxfId="652">
      <formula>AND(COUNTIF($C$234:$C$237,C234)&gt;1,NOT(ISBLANK(C234)))</formula>
    </cfRule>
  </conditionalFormatting>
  <conditionalFormatting sqref="B238:B241">
    <cfRule type="duplicateValues" priority="12" dxfId="652" stopIfTrue="1">
      <formula>AND(COUNTIF($B$238:$B$241,B238)&gt;1,NOT(ISBLANK(B238)))</formula>
    </cfRule>
  </conditionalFormatting>
  <conditionalFormatting sqref="C238:C241">
    <cfRule type="duplicateValues" priority="11" dxfId="652">
      <formula>AND(COUNTIF($C$238:$C$241,C238)&gt;1,NOT(ISBLANK(C238)))</formula>
    </cfRule>
  </conditionalFormatting>
  <conditionalFormatting sqref="B242:B245">
    <cfRule type="duplicateValues" priority="10" dxfId="652" stopIfTrue="1">
      <formula>AND(COUNTIF($B$242:$B$245,B242)&gt;1,NOT(ISBLANK(B242)))</formula>
    </cfRule>
  </conditionalFormatting>
  <conditionalFormatting sqref="C242:C245">
    <cfRule type="duplicateValues" priority="9" dxfId="652">
      <formula>AND(COUNTIF($C$242:$C$245,C242)&gt;1,NOT(ISBLANK(C242)))</formula>
    </cfRule>
  </conditionalFormatting>
  <conditionalFormatting sqref="B246:B249">
    <cfRule type="duplicateValues" priority="8" dxfId="652" stopIfTrue="1">
      <formula>AND(COUNTIF($B$246:$B$249,B246)&gt;1,NOT(ISBLANK(B246)))</formula>
    </cfRule>
  </conditionalFormatting>
  <conditionalFormatting sqref="C246:C249">
    <cfRule type="duplicateValues" priority="7" dxfId="652">
      <formula>AND(COUNTIF($C$246:$C$249,C246)&gt;1,NOT(ISBLANK(C246)))</formula>
    </cfRule>
  </conditionalFormatting>
  <conditionalFormatting sqref="B250:B253">
    <cfRule type="duplicateValues" priority="6" dxfId="652" stopIfTrue="1">
      <formula>AND(COUNTIF($B$250:$B$253,B250)&gt;1,NOT(ISBLANK(B250)))</formula>
    </cfRule>
  </conditionalFormatting>
  <conditionalFormatting sqref="C250:C253">
    <cfRule type="duplicateValues" priority="5" dxfId="652">
      <formula>AND(COUNTIF($C$250:$C$253,C250)&gt;1,NOT(ISBLANK(C250)))</formula>
    </cfRule>
  </conditionalFormatting>
  <conditionalFormatting sqref="B6:B40">
    <cfRule type="duplicateValues" priority="128" dxfId="652" stopIfTrue="1">
      <formula>AND(COUNTIF($B$6:$B$40,B6)&gt;1,NOT(ISBLANK(B6)))</formula>
    </cfRule>
  </conditionalFormatting>
  <conditionalFormatting sqref="C6:C253">
    <cfRule type="duplicateValues" priority="4" dxfId="652">
      <formula>AND(COUNTIF($C$6:$C$253,C6)&gt;1,NOT(ISBLANK(C6)))</formula>
    </cfRule>
  </conditionalFormatting>
  <conditionalFormatting sqref="F6:F253">
    <cfRule type="cellIs" priority="1" dxfId="533"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A6" sqref="A6:H8"/>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Kayseri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Kayseri</v>
      </c>
      <c r="B3" s="180"/>
      <c r="C3" s="180"/>
      <c r="D3" s="180"/>
      <c r="E3" s="180"/>
      <c r="F3" s="180"/>
      <c r="G3" s="180"/>
      <c r="H3" s="180"/>
      <c r="I3" s="32"/>
    </row>
    <row r="4" spans="1:8" ht="15.75" customHeight="1">
      <c r="A4" s="177" t="str">
        <f>KAPAK!B26</f>
        <v>Yıldız Erkekler</v>
      </c>
      <c r="B4" s="177"/>
      <c r="C4" s="177"/>
      <c r="D4" s="40" t="str">
        <f>KAPAK!B25</f>
        <v>3 km.</v>
      </c>
      <c r="E4" s="41"/>
      <c r="F4" s="181">
        <f>KAPAK!B28</f>
        <v>41924.458333333336</v>
      </c>
      <c r="G4" s="181"/>
      <c r="H4" s="18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450</v>
      </c>
      <c r="C6" s="36" t="str">
        <f>IF(ISERROR(VLOOKUP(B6,'START LİSTE'!$B$6:$F$1253,2,0)),"",VLOOKUP(B6,'START LİSTE'!$B$6:$F$1253,2,0))</f>
        <v>BEKİR KABADAYI </v>
      </c>
      <c r="D6" s="36" t="str">
        <f>IF(ISERROR(VLOOKUP(B6,'START LİSTE'!$B$6:$F$1253,3,0)),"",VLOOKUP(B6,'START LİSTE'!$B$6:$F$1253,3,0))</f>
        <v>ANKARA-BB ANKARASPOR</v>
      </c>
      <c r="E6" s="37" t="str">
        <f>IF(ISERROR(VLOOKUP(B6,'START LİSTE'!$B$6:$F$1253,4,0)),"",VLOOKUP(B6,'START LİSTE'!$B$6:$F$1253,4,0))</f>
        <v>T</v>
      </c>
      <c r="F6" s="38">
        <f>IF(ISERROR(VLOOKUP($B6,'START LİSTE'!$B$6:$F$1253,5,0)),"",VLOOKUP($B6,'START LİSTE'!$B$6:$F$1253,5,0))</f>
        <v>35886</v>
      </c>
      <c r="G6" s="110">
        <v>849</v>
      </c>
      <c r="H6" s="143">
        <f>IF(OR(G6="DQ",G6="DNF",G6="DNS"),"-",IF(B6&lt;&gt;"",IF(E6="F",0,1),""))</f>
        <v>1</v>
      </c>
      <c r="J6" s="31"/>
    </row>
    <row r="7" spans="1:10" ht="17.25" customHeight="1">
      <c r="A7" s="35">
        <f>IF(B7&lt;&gt;"",A6+1,"")</f>
        <v>2</v>
      </c>
      <c r="B7" s="109">
        <v>453</v>
      </c>
      <c r="C7" s="36" t="str">
        <f>IF(ISERROR(VLOOKUP(B7,'START LİSTE'!$B$6:$F$1253,2,0)),"",VLOOKUP(B7,'START LİSTE'!$B$6:$F$1253,2,0))</f>
        <v>OĞUZHAN TAŞDEMİR</v>
      </c>
      <c r="D7" s="36" t="str">
        <f>IF(ISERROR(VLOOKUP(B7,'START LİSTE'!$B$6:$F$1253,3,0)),"",VLOOKUP(B7,'START LİSTE'!$B$6:$F$1253,3,0))</f>
        <v>ANKARA-BB ANKARASPOR</v>
      </c>
      <c r="E7" s="37" t="str">
        <f>IF(ISERROR(VLOOKUP(B7,'START LİSTE'!$B$6:$F$1253,4,0)),"",VLOOKUP(B7,'START LİSTE'!$B$6:$F$1253,4,0))</f>
        <v>T</v>
      </c>
      <c r="F7" s="38">
        <f>IF(ISERROR(VLOOKUP($B7,'START LİSTE'!$B$6:$F$1253,5,0)),"",VLOOKUP($B7,'START LİSTE'!$B$6:$F$1253,5,0))</f>
        <v>35431</v>
      </c>
      <c r="G7" s="110">
        <v>901</v>
      </c>
      <c r="H7" s="143">
        <f>IF(OR(G7="DQ",G7="DNF",G7="DNS"),"-",IF(B7&lt;&gt;"",IF(E7="F",H6,H6+1),""))</f>
        <v>2</v>
      </c>
      <c r="J7" s="31"/>
    </row>
    <row r="8" spans="1:10" ht="17.25" customHeight="1">
      <c r="A8" s="35">
        <f aca="true" t="shared" si="0" ref="A8:A71">IF(B8&lt;&gt;"",A7+1,"")</f>
        <v>3</v>
      </c>
      <c r="B8" s="109">
        <v>430</v>
      </c>
      <c r="C8" s="36" t="str">
        <f>IF(ISERROR(VLOOKUP(B8,'START LİSTE'!$B$6:$F$1253,2,0)),"",VLOOKUP(B8,'START LİSTE'!$B$6:$F$1253,2,0))</f>
        <v>HÜSEYİN  BOZKUŞ</v>
      </c>
      <c r="D8" s="36" t="str">
        <f>IF(ISERROR(VLOOKUP(B8,'START LİSTE'!$B$6:$F$1253,3,0)),"",VLOOKUP(B8,'START LİSTE'!$B$6:$F$1253,3,0))</f>
        <v>KONYA EREĞLİ ŞEKER SPOR</v>
      </c>
      <c r="E8" s="37" t="str">
        <f>IF(ISERROR(VLOOKUP(B8,'START LİSTE'!$B$6:$F$1253,4,0)),"",VLOOKUP(B8,'START LİSTE'!$B$6:$F$1253,4,0))</f>
        <v>T</v>
      </c>
      <c r="F8" s="38">
        <f>IF(ISERROR(VLOOKUP($B8,'START LİSTE'!$B$6:$F$1253,5,0)),"",VLOOKUP($B8,'START LİSTE'!$B$6:$F$1253,5,0))</f>
        <v>35497</v>
      </c>
      <c r="G8" s="110">
        <v>908</v>
      </c>
      <c r="H8" s="143">
        <f aca="true" t="shared" si="1" ref="H8:H71">IF(OR(G8="DQ",G8="DNF",G8="DNS"),"-",IF(B8&lt;&gt;"",IF(E8="F",H7,H7+1),""))</f>
        <v>3</v>
      </c>
      <c r="J8" s="31"/>
    </row>
    <row r="9" spans="1:8" ht="17.25" customHeight="1">
      <c r="A9" s="35">
        <f t="shared" si="0"/>
        <v>4</v>
      </c>
      <c r="B9" s="109">
        <v>451</v>
      </c>
      <c r="C9" s="36" t="str">
        <f>IF(ISERROR(VLOOKUP(B9,'START LİSTE'!$B$6:$F$1253,2,0)),"",VLOOKUP(B9,'START LİSTE'!$B$6:$F$1253,2,0))</f>
        <v>OĞUZHAN  FURKAN DEDE</v>
      </c>
      <c r="D9" s="36" t="str">
        <f>IF(ISERROR(VLOOKUP(B9,'START LİSTE'!$B$6:$F$1253,3,0)),"",VLOOKUP(B9,'START LİSTE'!$B$6:$F$1253,3,0))</f>
        <v>ANKARA-BB ANKARASPOR</v>
      </c>
      <c r="E9" s="37" t="str">
        <f>IF(ISERROR(VLOOKUP(B9,'START LİSTE'!$B$6:$F$1253,4,0)),"",VLOOKUP(B9,'START LİSTE'!$B$6:$F$1253,4,0))</f>
        <v>T</v>
      </c>
      <c r="F9" s="38">
        <f>IF(ISERROR(VLOOKUP($B9,'START LİSTE'!$B$6:$F$1253,5,0)),"",VLOOKUP($B9,'START LİSTE'!$B$6:$F$1253,5,0))</f>
        <v>35529</v>
      </c>
      <c r="G9" s="110">
        <v>909</v>
      </c>
      <c r="H9" s="143">
        <f t="shared" si="1"/>
        <v>4</v>
      </c>
    </row>
    <row r="10" spans="1:8" ht="17.25" customHeight="1">
      <c r="A10" s="35">
        <f t="shared" si="0"/>
        <v>5</v>
      </c>
      <c r="B10" s="109">
        <v>446</v>
      </c>
      <c r="C10" s="36" t="str">
        <f>IF(ISERROR(VLOOKUP(B10,'START LİSTE'!$B$6:$F$1253,2,0)),"",VLOOKUP(B10,'START LİSTE'!$B$6:$F$1253,2,0))</f>
        <v>SAVAŞ ÇAKMAK</v>
      </c>
      <c r="D10" s="36" t="str">
        <f>IF(ISERROR(VLOOKUP(B10,'START LİSTE'!$B$6:$F$1253,3,0)),"",VLOOKUP(B10,'START LİSTE'!$B$6:$F$1253,3,0))</f>
        <v>NEVŞEHİR 100.YIL ÜLFET BAŞER İO SP. KLB.</v>
      </c>
      <c r="E10" s="37" t="str">
        <f>IF(ISERROR(VLOOKUP(B10,'START LİSTE'!$B$6:$F$1253,4,0)),"",VLOOKUP(B10,'START LİSTE'!$B$6:$F$1253,4,0))</f>
        <v>T</v>
      </c>
      <c r="F10" s="38">
        <f>IF(ISERROR(VLOOKUP($B10,'START LİSTE'!$B$6:$F$1253,5,0)),"",VLOOKUP($B10,'START LİSTE'!$B$6:$F$1253,5,0))</f>
        <v>35503</v>
      </c>
      <c r="G10" s="110">
        <v>924</v>
      </c>
      <c r="H10" s="143">
        <f t="shared" si="1"/>
        <v>5</v>
      </c>
    </row>
    <row r="11" spans="1:8" ht="17.25" customHeight="1">
      <c r="A11" s="35">
        <f t="shared" si="0"/>
        <v>6</v>
      </c>
      <c r="B11" s="109">
        <v>452</v>
      </c>
      <c r="C11" s="36" t="str">
        <f>IF(ISERROR(VLOOKUP(B11,'START LİSTE'!$B$6:$F$1253,2,0)),"",VLOOKUP(B11,'START LİSTE'!$B$6:$F$1253,2,0))</f>
        <v>NİHAT TOKMAK</v>
      </c>
      <c r="D11" s="36" t="str">
        <f>IF(ISERROR(VLOOKUP(B11,'START LİSTE'!$B$6:$F$1253,3,0)),"",VLOOKUP(B11,'START LİSTE'!$B$6:$F$1253,3,0))</f>
        <v>ANKARA-BB ANKARASPOR</v>
      </c>
      <c r="E11" s="37" t="str">
        <f>IF(ISERROR(VLOOKUP(B11,'START LİSTE'!$B$6:$F$1253,4,0)),"",VLOOKUP(B11,'START LİSTE'!$B$6:$F$1253,4,0))</f>
        <v>T</v>
      </c>
      <c r="F11" s="38">
        <f>IF(ISERROR(VLOOKUP($B11,'START LİSTE'!$B$6:$F$1253,5,0)),"",VLOOKUP($B11,'START LİSTE'!$B$6:$F$1253,5,0))</f>
        <v>35723</v>
      </c>
      <c r="G11" s="110">
        <v>927</v>
      </c>
      <c r="H11" s="143">
        <f t="shared" si="1"/>
        <v>6</v>
      </c>
    </row>
    <row r="12" spans="1:8" ht="17.25" customHeight="1">
      <c r="A12" s="35">
        <f t="shared" si="0"/>
        <v>7</v>
      </c>
      <c r="B12" s="109">
        <v>431</v>
      </c>
      <c r="C12" s="36" t="str">
        <f>IF(ISERROR(VLOOKUP(B12,'START LİSTE'!$B$6:$F$1253,2,0)),"",VLOOKUP(B12,'START LİSTE'!$B$6:$F$1253,2,0))</f>
        <v>YUNUS  ÖLGER</v>
      </c>
      <c r="D12" s="36" t="str">
        <f>IF(ISERROR(VLOOKUP(B12,'START LİSTE'!$B$6:$F$1253,3,0)),"",VLOOKUP(B12,'START LİSTE'!$B$6:$F$1253,3,0))</f>
        <v>KONYA EREĞLİ ŞEKER SPOR</v>
      </c>
      <c r="E12" s="37" t="str">
        <f>IF(ISERROR(VLOOKUP(B12,'START LİSTE'!$B$6:$F$1253,4,0)),"",VLOOKUP(B12,'START LİSTE'!$B$6:$F$1253,4,0))</f>
        <v>T</v>
      </c>
      <c r="F12" s="38">
        <f>IF(ISERROR(VLOOKUP($B12,'START LİSTE'!$B$6:$F$1253,5,0)),"",VLOOKUP($B12,'START LİSTE'!$B$6:$F$1253,5,0))</f>
        <v>35603</v>
      </c>
      <c r="G12" s="110">
        <v>928</v>
      </c>
      <c r="H12" s="143">
        <f t="shared" si="1"/>
        <v>7</v>
      </c>
    </row>
    <row r="13" spans="1:8" ht="17.25" customHeight="1">
      <c r="A13" s="35">
        <f t="shared" si="0"/>
        <v>8</v>
      </c>
      <c r="B13" s="109">
        <v>432</v>
      </c>
      <c r="C13" s="36" t="str">
        <f>IF(ISERROR(VLOOKUP(B13,'START LİSTE'!$B$6:$F$1253,2,0)),"",VLOOKUP(B13,'START LİSTE'!$B$6:$F$1253,2,0))</f>
        <v>NECATİ BİNGÖL</v>
      </c>
      <c r="D13" s="36" t="str">
        <f>IF(ISERROR(VLOOKUP(B13,'START LİSTE'!$B$6:$F$1253,3,0)),"",VLOOKUP(B13,'START LİSTE'!$B$6:$F$1253,3,0))</f>
        <v>KONYA EREĞLİ ŞEKER SPOR</v>
      </c>
      <c r="E13" s="37" t="str">
        <f>IF(ISERROR(VLOOKUP(B13,'START LİSTE'!$B$6:$F$1253,4,0)),"",VLOOKUP(B13,'START LİSTE'!$B$6:$F$1253,4,0))</f>
        <v>T</v>
      </c>
      <c r="F13" s="38">
        <f>IF(ISERROR(VLOOKUP($B13,'START LİSTE'!$B$6:$F$1253,5,0)),"",VLOOKUP($B13,'START LİSTE'!$B$6:$F$1253,5,0))</f>
        <v>35516</v>
      </c>
      <c r="G13" s="110">
        <v>941</v>
      </c>
      <c r="H13" s="143">
        <f t="shared" si="1"/>
        <v>8</v>
      </c>
    </row>
    <row r="14" spans="1:8" ht="17.25" customHeight="1">
      <c r="A14" s="35">
        <f t="shared" si="0"/>
        <v>9</v>
      </c>
      <c r="B14" s="109">
        <v>462</v>
      </c>
      <c r="C14" s="36" t="str">
        <f>IF(ISERROR(VLOOKUP(B14,'START LİSTE'!$B$6:$F$1253,2,0)),"",VLOOKUP(B14,'START LİSTE'!$B$6:$F$1253,2,0))</f>
        <v>OĞUZHAN OLKUN</v>
      </c>
      <c r="D14" s="36" t="str">
        <f>IF(ISERROR(VLOOKUP(B14,'START LİSTE'!$B$6:$F$1253,3,0)),"",VLOOKUP(B14,'START LİSTE'!$B$6:$F$1253,3,0))</f>
        <v>ESKİŞEHİR BÜYÜKŞEHİR G.S.K</v>
      </c>
      <c r="E14" s="37" t="str">
        <f>IF(ISERROR(VLOOKUP(B14,'START LİSTE'!$B$6:$F$1253,4,0)),"",VLOOKUP(B14,'START LİSTE'!$B$6:$F$1253,4,0))</f>
        <v>T</v>
      </c>
      <c r="F14" s="38">
        <f>IF(ISERROR(VLOOKUP($B14,'START LİSTE'!$B$6:$F$1253,5,0)),"",VLOOKUP($B14,'START LİSTE'!$B$6:$F$1253,5,0))</f>
        <v>35937</v>
      </c>
      <c r="G14" s="110">
        <v>957</v>
      </c>
      <c r="H14" s="143">
        <f t="shared" si="1"/>
        <v>9</v>
      </c>
    </row>
    <row r="15" spans="1:8" ht="17.25" customHeight="1">
      <c r="A15" s="35">
        <f t="shared" si="0"/>
        <v>10</v>
      </c>
      <c r="B15" s="109">
        <v>454</v>
      </c>
      <c r="C15" s="36" t="str">
        <f>IF(ISERROR(VLOOKUP(B15,'START LİSTE'!$B$6:$F$1253,2,0)),"",VLOOKUP(B15,'START LİSTE'!$B$6:$F$1253,2,0))</f>
        <v>EDİP ERÇİN</v>
      </c>
      <c r="D15" s="36" t="str">
        <f>IF(ISERROR(VLOOKUP(B15,'START LİSTE'!$B$6:$F$1253,3,0)),"",VLOOKUP(B15,'START LİSTE'!$B$6:$F$1253,3,0))</f>
        <v>NEVŞEHİR GHSİM S.K</v>
      </c>
      <c r="E15" s="37" t="str">
        <f>IF(ISERROR(VLOOKUP(B15,'START LİSTE'!$B$6:$F$1253,4,0)),"",VLOOKUP(B15,'START LİSTE'!$B$6:$F$1253,4,0))</f>
        <v>T</v>
      </c>
      <c r="F15" s="38">
        <f>IF(ISERROR(VLOOKUP($B15,'START LİSTE'!$B$6:$F$1253,5,0)),"",VLOOKUP($B15,'START LİSTE'!$B$6:$F$1253,5,0))</f>
        <v>35491</v>
      </c>
      <c r="G15" s="110">
        <v>1004</v>
      </c>
      <c r="H15" s="143">
        <f t="shared" si="1"/>
        <v>10</v>
      </c>
    </row>
    <row r="16" spans="1:8" ht="17.25" customHeight="1">
      <c r="A16" s="35">
        <f t="shared" si="0"/>
        <v>11</v>
      </c>
      <c r="B16" s="109">
        <v>436</v>
      </c>
      <c r="C16" s="36" t="str">
        <f>IF(ISERROR(VLOOKUP(B16,'START LİSTE'!$B$6:$F$1253,2,0)),"",VLOOKUP(B16,'START LİSTE'!$B$6:$F$1253,2,0))</f>
        <v>EMRE ÜNALAN</v>
      </c>
      <c r="D16" s="36" t="str">
        <f>IF(ISERROR(VLOOKUP(B16,'START LİSTE'!$B$6:$F$1253,3,0)),"",VLOOKUP(B16,'START LİSTE'!$B$6:$F$1253,3,0))</f>
        <v>SİVAS-EĞİTİM SPOR</v>
      </c>
      <c r="E16" s="37" t="str">
        <f>IF(ISERROR(VLOOKUP(B16,'START LİSTE'!$B$6:$F$1253,4,0)),"",VLOOKUP(B16,'START LİSTE'!$B$6:$F$1253,4,0))</f>
        <v>T</v>
      </c>
      <c r="F16" s="38">
        <f>IF(ISERROR(VLOOKUP($B16,'START LİSTE'!$B$6:$F$1253,5,0)),"",VLOOKUP($B16,'START LİSTE'!$B$6:$F$1253,5,0))</f>
        <v>35968</v>
      </c>
      <c r="G16" s="110">
        <v>1007</v>
      </c>
      <c r="H16" s="143">
        <f t="shared" si="1"/>
        <v>11</v>
      </c>
    </row>
    <row r="17" spans="1:8" ht="17.25" customHeight="1">
      <c r="A17" s="35">
        <f t="shared" si="0"/>
        <v>12</v>
      </c>
      <c r="B17" s="109">
        <v>447</v>
      </c>
      <c r="C17" s="36" t="str">
        <f>IF(ISERROR(VLOOKUP(B17,'START LİSTE'!$B$6:$F$1253,2,0)),"",VLOOKUP(B17,'START LİSTE'!$B$6:$F$1253,2,0))</f>
        <v>FATİH SABAN</v>
      </c>
      <c r="D17" s="36" t="str">
        <f>IF(ISERROR(VLOOKUP(B17,'START LİSTE'!$B$6:$F$1253,3,0)),"",VLOOKUP(B17,'START LİSTE'!$B$6:$F$1253,3,0))</f>
        <v>NEVŞEHİR 100.YIL ÜLFET BAŞER İO SP. KLB.</v>
      </c>
      <c r="E17" s="37" t="str">
        <f>IF(ISERROR(VLOOKUP(B17,'START LİSTE'!$B$6:$F$1253,4,0)),"",VLOOKUP(B17,'START LİSTE'!$B$6:$F$1253,4,0))</f>
        <v>T</v>
      </c>
      <c r="F17" s="38">
        <f>IF(ISERROR(VLOOKUP($B17,'START LİSTE'!$B$6:$F$1253,5,0)),"",VLOOKUP($B17,'START LİSTE'!$B$6:$F$1253,5,0))</f>
        <v>35555</v>
      </c>
      <c r="G17" s="110"/>
      <c r="H17" s="143">
        <f t="shared" si="1"/>
        <v>12</v>
      </c>
    </row>
    <row r="18" spans="1:8" ht="17.25" customHeight="1">
      <c r="A18" s="35">
        <f t="shared" si="0"/>
        <v>13</v>
      </c>
      <c r="B18" s="109">
        <v>460</v>
      </c>
      <c r="C18" s="36" t="str">
        <f>IF(ISERROR(VLOOKUP(B18,'START LİSTE'!$B$6:$F$1253,2,0)),"",VLOOKUP(B18,'START LİSTE'!$B$6:$F$1253,2,0))</f>
        <v>UMUT BİNİCİ</v>
      </c>
      <c r="D18" s="36" t="str">
        <f>IF(ISERROR(VLOOKUP(B18,'START LİSTE'!$B$6:$F$1253,3,0)),"",VLOOKUP(B18,'START LİSTE'!$B$6:$F$1253,3,0))</f>
        <v>SPORCU EĞİTİM MERKEZİGENÇLİK VE SPOR KÜLÜBÜ</v>
      </c>
      <c r="E18" s="37" t="str">
        <f>IF(ISERROR(VLOOKUP(B18,'START LİSTE'!$B$6:$F$1253,4,0)),"",VLOOKUP(B18,'START LİSTE'!$B$6:$F$1253,4,0))</f>
        <v>T</v>
      </c>
      <c r="F18" s="38">
        <f>IF(ISERROR(VLOOKUP($B18,'START LİSTE'!$B$6:$F$1253,5,0)),"",VLOOKUP($B18,'START LİSTE'!$B$6:$F$1253,5,0))</f>
        <v>36124</v>
      </c>
      <c r="G18" s="110"/>
      <c r="H18" s="143">
        <f t="shared" si="1"/>
        <v>13</v>
      </c>
    </row>
    <row r="19" spans="1:8" ht="17.25" customHeight="1">
      <c r="A19" s="35">
        <f t="shared" si="0"/>
        <v>14</v>
      </c>
      <c r="B19" s="109">
        <v>444</v>
      </c>
      <c r="C19" s="36" t="str">
        <f>IF(ISERROR(VLOOKUP(B19,'START LİSTE'!$B$6:$F$1253,2,0)),"",VLOOKUP(B19,'START LİSTE'!$B$6:$F$1253,2,0))</f>
        <v>HASAN ÇELİK</v>
      </c>
      <c r="D19" s="36" t="str">
        <f>IF(ISERROR(VLOOKUP(B19,'START LİSTE'!$B$6:$F$1253,3,0)),"",VLOOKUP(B19,'START LİSTE'!$B$6:$F$1253,3,0))</f>
        <v>KIRŞEHİR - BELEDİYE GENÇLİK SP. K.</v>
      </c>
      <c r="E19" s="37" t="str">
        <f>IF(ISERROR(VLOOKUP(B19,'START LİSTE'!$B$6:$F$1253,4,0)),"",VLOOKUP(B19,'START LİSTE'!$B$6:$F$1253,4,0))</f>
        <v>T</v>
      </c>
      <c r="F19" s="38">
        <f>IF(ISERROR(VLOOKUP($B19,'START LİSTE'!$B$6:$F$1253,5,0)),"",VLOOKUP($B19,'START LİSTE'!$B$6:$F$1253,5,0))</f>
        <v>35701</v>
      </c>
      <c r="G19" s="110"/>
      <c r="H19" s="143">
        <f t="shared" si="1"/>
        <v>14</v>
      </c>
    </row>
    <row r="20" spans="1:8" ht="17.25" customHeight="1">
      <c r="A20" s="35">
        <f t="shared" si="0"/>
        <v>15</v>
      </c>
      <c r="B20" s="109">
        <v>448</v>
      </c>
      <c r="C20" s="36" t="str">
        <f>IF(ISERROR(VLOOKUP(B20,'START LİSTE'!$B$6:$F$1253,2,0)),"",VLOOKUP(B20,'START LİSTE'!$B$6:$F$1253,2,0))</f>
        <v>FURKAN AÇIKGÖZ</v>
      </c>
      <c r="D20" s="36" t="str">
        <f>IF(ISERROR(VLOOKUP(B20,'START LİSTE'!$B$6:$F$1253,3,0)),"",VLOOKUP(B20,'START LİSTE'!$B$6:$F$1253,3,0))</f>
        <v>NEVŞEHİR 100.YIL ÜLFET BAŞER İO SP. KLB.</v>
      </c>
      <c r="E20" s="37" t="str">
        <f>IF(ISERROR(VLOOKUP(B20,'START LİSTE'!$B$6:$F$1253,4,0)),"",VLOOKUP(B20,'START LİSTE'!$B$6:$F$1253,4,0))</f>
        <v>T</v>
      </c>
      <c r="F20" s="38">
        <f>IF(ISERROR(VLOOKUP($B20,'START LİSTE'!$B$6:$F$1253,5,0)),"",VLOOKUP($B20,'START LİSTE'!$B$6:$F$1253,5,0))</f>
        <v>35490</v>
      </c>
      <c r="G20" s="110"/>
      <c r="H20" s="143">
        <f t="shared" si="1"/>
        <v>15</v>
      </c>
    </row>
    <row r="21" spans="1:8" ht="17.25" customHeight="1">
      <c r="A21" s="35">
        <f t="shared" si="0"/>
        <v>16</v>
      </c>
      <c r="B21" s="109">
        <v>459</v>
      </c>
      <c r="C21" s="36" t="str">
        <f>IF(ISERROR(VLOOKUP(B21,'START LİSTE'!$B$6:$F$1253,2,0)),"",VLOOKUP(B21,'START LİSTE'!$B$6:$F$1253,2,0))</f>
        <v>EMRE DOĞAN</v>
      </c>
      <c r="D21" s="36" t="str">
        <f>IF(ISERROR(VLOOKUP(B21,'START LİSTE'!$B$6:$F$1253,3,0)),"",VLOOKUP(B21,'START LİSTE'!$B$6:$F$1253,3,0))</f>
        <v>SPORCU EĞİTİM MERKEZİGENÇLİK VE SPOR KÜLÜBÜ</v>
      </c>
      <c r="E21" s="37" t="str">
        <f>IF(ISERROR(VLOOKUP(B21,'START LİSTE'!$B$6:$F$1253,4,0)),"",VLOOKUP(B21,'START LİSTE'!$B$6:$F$1253,4,0))</f>
        <v>T</v>
      </c>
      <c r="F21" s="38">
        <f>IF(ISERROR(VLOOKUP($B21,'START LİSTE'!$B$6:$F$1253,5,0)),"",VLOOKUP($B21,'START LİSTE'!$B$6:$F$1253,5,0))</f>
        <v>35622</v>
      </c>
      <c r="G21" s="110"/>
      <c r="H21" s="143">
        <f t="shared" si="1"/>
        <v>16</v>
      </c>
    </row>
    <row r="22" spans="1:8" ht="17.25" customHeight="1">
      <c r="A22" s="35">
        <f t="shared" si="0"/>
        <v>17</v>
      </c>
      <c r="B22" s="109">
        <v>455</v>
      </c>
      <c r="C22" s="36" t="str">
        <f>IF(ISERROR(VLOOKUP(B22,'START LİSTE'!$B$6:$F$1253,2,0)),"",VLOOKUP(B22,'START LİSTE'!$B$6:$F$1253,2,0))</f>
        <v>FURKAN GÜVERCİNLİ</v>
      </c>
      <c r="D22" s="36" t="str">
        <f>IF(ISERROR(VLOOKUP(B22,'START LİSTE'!$B$6:$F$1253,3,0)),"",VLOOKUP(B22,'START LİSTE'!$B$6:$F$1253,3,0))</f>
        <v>NEVŞEHİR GHSİM S.K</v>
      </c>
      <c r="E22" s="37" t="str">
        <f>IF(ISERROR(VLOOKUP(B22,'START LİSTE'!$B$6:$F$1253,4,0)),"",VLOOKUP(B22,'START LİSTE'!$B$6:$F$1253,4,0))</f>
        <v>T</v>
      </c>
      <c r="F22" s="38">
        <f>IF(ISERROR(VLOOKUP($B22,'START LİSTE'!$B$6:$F$1253,5,0)),"",VLOOKUP($B22,'START LİSTE'!$B$6:$F$1253,5,0))</f>
        <v>35981</v>
      </c>
      <c r="G22" s="110"/>
      <c r="H22" s="143">
        <f t="shared" si="1"/>
        <v>17</v>
      </c>
    </row>
    <row r="23" spans="1:8" ht="17.25" customHeight="1">
      <c r="A23" s="35">
        <f t="shared" si="0"/>
        <v>18</v>
      </c>
      <c r="B23" s="109">
        <v>434</v>
      </c>
      <c r="C23" s="36" t="str">
        <f>IF(ISERROR(VLOOKUP(B23,'START LİSTE'!$B$6:$F$1253,2,0)),"",VLOOKUP(B23,'START LİSTE'!$B$6:$F$1253,2,0))</f>
        <v>BURAK YİĞİT</v>
      </c>
      <c r="D23" s="36" t="str">
        <f>IF(ISERROR(VLOOKUP(B23,'START LİSTE'!$B$6:$F$1253,3,0)),"",VLOOKUP(B23,'START LİSTE'!$B$6:$F$1253,3,0))</f>
        <v>SİVAS-EĞİTİM SPOR</v>
      </c>
      <c r="E23" s="37" t="str">
        <f>IF(ISERROR(VLOOKUP(B23,'START LİSTE'!$B$6:$F$1253,4,0)),"",VLOOKUP(B23,'START LİSTE'!$B$6:$F$1253,4,0))</f>
        <v>T</v>
      </c>
      <c r="F23" s="38">
        <f>IF(ISERROR(VLOOKUP($B23,'START LİSTE'!$B$6:$F$1253,5,0)),"",VLOOKUP($B23,'START LİSTE'!$B$6:$F$1253,5,0))</f>
        <v>36083</v>
      </c>
      <c r="G23" s="110"/>
      <c r="H23" s="143">
        <f t="shared" si="1"/>
        <v>18</v>
      </c>
    </row>
    <row r="24" spans="1:8" ht="17.25" customHeight="1">
      <c r="A24" s="35">
        <f t="shared" si="0"/>
        <v>19</v>
      </c>
      <c r="B24" s="109">
        <v>456</v>
      </c>
      <c r="C24" s="36" t="str">
        <f>IF(ISERROR(VLOOKUP(B24,'START LİSTE'!$B$6:$F$1253,2,0)),"",VLOOKUP(B24,'START LİSTE'!$B$6:$F$1253,2,0))</f>
        <v>ZEKERYA KOCATEPE</v>
      </c>
      <c r="D24" s="36" t="str">
        <f>IF(ISERROR(VLOOKUP(B24,'START LİSTE'!$B$6:$F$1253,3,0)),"",VLOOKUP(B24,'START LİSTE'!$B$6:$F$1253,3,0))</f>
        <v>NEVŞEHİR GHSİM S.K</v>
      </c>
      <c r="E24" s="37" t="str">
        <f>IF(ISERROR(VLOOKUP(B24,'START LİSTE'!$B$6:$F$1253,4,0)),"",VLOOKUP(B24,'START LİSTE'!$B$6:$F$1253,4,0))</f>
        <v>T</v>
      </c>
      <c r="F24" s="38">
        <f>IF(ISERROR(VLOOKUP($B24,'START LİSTE'!$B$6:$F$1253,5,0)),"",VLOOKUP($B24,'START LİSTE'!$B$6:$F$1253,5,0))</f>
        <v>36024</v>
      </c>
      <c r="G24" s="110"/>
      <c r="H24" s="143">
        <f t="shared" si="1"/>
        <v>19</v>
      </c>
    </row>
    <row r="25" spans="1:8" ht="17.25" customHeight="1">
      <c r="A25" s="35">
        <f t="shared" si="0"/>
        <v>20</v>
      </c>
      <c r="B25" s="109">
        <v>433</v>
      </c>
      <c r="C25" s="36" t="str">
        <f>IF(ISERROR(VLOOKUP(B25,'START LİSTE'!$B$6:$F$1253,2,0)),"",VLOOKUP(B25,'START LİSTE'!$B$6:$F$1253,2,0))</f>
        <v>ABDURRAHMAN  ASLAN</v>
      </c>
      <c r="D25" s="36" t="str">
        <f>IF(ISERROR(VLOOKUP(B25,'START LİSTE'!$B$6:$F$1253,3,0)),"",VLOOKUP(B25,'START LİSTE'!$B$6:$F$1253,3,0))</f>
        <v>KONYA EREĞLİ ŞEKER SPOR</v>
      </c>
      <c r="E25" s="37" t="str">
        <f>IF(ISERROR(VLOOKUP(B25,'START LİSTE'!$B$6:$F$1253,4,0)),"",VLOOKUP(B25,'START LİSTE'!$B$6:$F$1253,4,0))</f>
        <v>T</v>
      </c>
      <c r="F25" s="38">
        <f>IF(ISERROR(VLOOKUP($B25,'START LİSTE'!$B$6:$F$1253,5,0)),"",VLOOKUP($B25,'START LİSTE'!$B$6:$F$1253,5,0))</f>
        <v>35745</v>
      </c>
      <c r="G25" s="110"/>
      <c r="H25" s="143">
        <f t="shared" si="1"/>
        <v>20</v>
      </c>
    </row>
    <row r="26" spans="1:8" ht="17.25" customHeight="1">
      <c r="A26" s="35">
        <f t="shared" si="0"/>
        <v>21</v>
      </c>
      <c r="B26" s="109">
        <v>463</v>
      </c>
      <c r="C26" s="36" t="str">
        <f>IF(ISERROR(VLOOKUP(B26,'START LİSTE'!$B$6:$F$1253,2,0)),"",VLOOKUP(B26,'START LİSTE'!$B$6:$F$1253,2,0))</f>
        <v>YUSUF PEKTAŞ</v>
      </c>
      <c r="D26" s="36" t="str">
        <f>IF(ISERROR(VLOOKUP(B26,'START LİSTE'!$B$6:$F$1253,3,0)),"",VLOOKUP(B26,'START LİSTE'!$B$6:$F$1253,3,0))</f>
        <v>ESKİŞEHİR BÜYÜKŞEHİR G.S.K</v>
      </c>
      <c r="E26" s="37" t="str">
        <f>IF(ISERROR(VLOOKUP(B26,'START LİSTE'!$B$6:$F$1253,4,0)),"",VLOOKUP(B26,'START LİSTE'!$B$6:$F$1253,4,0))</f>
        <v>T</v>
      </c>
      <c r="F26" s="38">
        <f>IF(ISERROR(VLOOKUP($B26,'START LİSTE'!$B$6:$F$1253,5,0)),"",VLOOKUP($B26,'START LİSTE'!$B$6:$F$1253,5,0))</f>
        <v>35796</v>
      </c>
      <c r="G26" s="110"/>
      <c r="H26" s="143">
        <f t="shared" si="1"/>
        <v>21</v>
      </c>
    </row>
    <row r="27" spans="1:8" ht="17.25" customHeight="1">
      <c r="A27" s="35">
        <f t="shared" si="0"/>
        <v>22</v>
      </c>
      <c r="B27" s="109">
        <v>464</v>
      </c>
      <c r="C27" s="36" t="str">
        <f>IF(ISERROR(VLOOKUP(B27,'START LİSTE'!$B$6:$F$1253,2,0)),"",VLOOKUP(B27,'START LİSTE'!$B$6:$F$1253,2,0))</f>
        <v>HÜSEYİN KARACA</v>
      </c>
      <c r="D27" s="36" t="str">
        <f>IF(ISERROR(VLOOKUP(B27,'START LİSTE'!$B$6:$F$1253,3,0)),"",VLOOKUP(B27,'START LİSTE'!$B$6:$F$1253,3,0))</f>
        <v>ESKİŞEHİR BÜYÜKŞEHİR G.S.K</v>
      </c>
      <c r="E27" s="37" t="str">
        <f>IF(ISERROR(VLOOKUP(B27,'START LİSTE'!$B$6:$F$1253,4,0)),"",VLOOKUP(B27,'START LİSTE'!$B$6:$F$1253,4,0))</f>
        <v>T</v>
      </c>
      <c r="F27" s="38">
        <f>IF(ISERROR(VLOOKUP($B27,'START LİSTE'!$B$6:$F$1253,5,0)),"",VLOOKUP($B27,'START LİSTE'!$B$6:$F$1253,5,0))</f>
        <v>35709</v>
      </c>
      <c r="G27" s="110"/>
      <c r="H27" s="143">
        <f t="shared" si="1"/>
        <v>22</v>
      </c>
    </row>
    <row r="28" spans="1:8" ht="17.25" customHeight="1">
      <c r="A28" s="35">
        <f t="shared" si="0"/>
        <v>23</v>
      </c>
      <c r="B28" s="109">
        <v>458</v>
      </c>
      <c r="C28" s="36" t="str">
        <f>IF(ISERROR(VLOOKUP(B28,'START LİSTE'!$B$6:$F$1253,2,0)),"",VLOOKUP(B28,'START LİSTE'!$B$6:$F$1253,2,0))</f>
        <v>AHAT KARATAŞ</v>
      </c>
      <c r="D28" s="36" t="str">
        <f>IF(ISERROR(VLOOKUP(B28,'START LİSTE'!$B$6:$F$1253,3,0)),"",VLOOKUP(B28,'START LİSTE'!$B$6:$F$1253,3,0))</f>
        <v>SPORCU EĞİTİM MERKEZİGENÇLİK VE SPOR KÜLÜBÜ</v>
      </c>
      <c r="E28" s="37" t="str">
        <f>IF(ISERROR(VLOOKUP(B28,'START LİSTE'!$B$6:$F$1253,4,0)),"",VLOOKUP(B28,'START LİSTE'!$B$6:$F$1253,4,0))</f>
        <v>T</v>
      </c>
      <c r="F28" s="38">
        <f>IF(ISERROR(VLOOKUP($B28,'START LİSTE'!$B$6:$F$1253,5,0)),"",VLOOKUP($B28,'START LİSTE'!$B$6:$F$1253,5,0))</f>
        <v>35752</v>
      </c>
      <c r="G28" s="110"/>
      <c r="H28" s="143">
        <f t="shared" si="1"/>
        <v>23</v>
      </c>
    </row>
    <row r="29" spans="1:8" ht="17.25" customHeight="1">
      <c r="A29" s="35">
        <f t="shared" si="0"/>
        <v>24</v>
      </c>
      <c r="B29" s="109">
        <v>437</v>
      </c>
      <c r="C29" s="36" t="str">
        <f>IF(ISERROR(VLOOKUP(B29,'START LİSTE'!$B$6:$F$1253,2,0)),"",VLOOKUP(B29,'START LİSTE'!$B$6:$F$1253,2,0))</f>
        <v>SERKAN KOÇAN</v>
      </c>
      <c r="D29" s="36" t="str">
        <f>IF(ISERROR(VLOOKUP(B29,'START LİSTE'!$B$6:$F$1253,3,0)),"",VLOOKUP(B29,'START LİSTE'!$B$6:$F$1253,3,0))</f>
        <v>SİVAS-EĞİTİM SPOR</v>
      </c>
      <c r="E29" s="37" t="str">
        <f>IF(ISERROR(VLOOKUP(B29,'START LİSTE'!$B$6:$F$1253,4,0)),"",VLOOKUP(B29,'START LİSTE'!$B$6:$F$1253,4,0))</f>
        <v>T</v>
      </c>
      <c r="F29" s="38">
        <f>IF(ISERROR(VLOOKUP($B29,'START LİSTE'!$B$6:$F$1253,5,0)),"",VLOOKUP($B29,'START LİSTE'!$B$6:$F$1253,5,0))</f>
        <v>35442</v>
      </c>
      <c r="G29" s="110"/>
      <c r="H29" s="143">
        <f t="shared" si="1"/>
        <v>24</v>
      </c>
    </row>
    <row r="30" spans="1:8" ht="17.25" customHeight="1">
      <c r="A30" s="35">
        <f t="shared" si="0"/>
        <v>25</v>
      </c>
      <c r="B30" s="109">
        <v>445</v>
      </c>
      <c r="C30" s="36" t="str">
        <f>IF(ISERROR(VLOOKUP(B30,'START LİSTE'!$B$6:$F$1253,2,0)),"",VLOOKUP(B30,'START LİSTE'!$B$6:$F$1253,2,0))</f>
        <v>MAHİR DENİZ YİĞİT</v>
      </c>
      <c r="D30" s="36" t="str">
        <f>IF(ISERROR(VLOOKUP(B30,'START LİSTE'!$B$6:$F$1253,3,0)),"",VLOOKUP(B30,'START LİSTE'!$B$6:$F$1253,3,0))</f>
        <v>KIRŞEHİR - BELEDİYE GENÇLİK SP. K.</v>
      </c>
      <c r="E30" s="37" t="str">
        <f>IF(ISERROR(VLOOKUP(B30,'START LİSTE'!$B$6:$F$1253,4,0)),"",VLOOKUP(B30,'START LİSTE'!$B$6:$F$1253,4,0))</f>
        <v>T</v>
      </c>
      <c r="F30" s="38">
        <f>IF(ISERROR(VLOOKUP($B30,'START LİSTE'!$B$6:$F$1253,5,0)),"",VLOOKUP($B30,'START LİSTE'!$B$6:$F$1253,5,0))</f>
        <v>35876</v>
      </c>
      <c r="G30" s="110"/>
      <c r="H30" s="143">
        <f t="shared" si="1"/>
        <v>25</v>
      </c>
    </row>
    <row r="31" spans="1:8" ht="17.25" customHeight="1">
      <c r="A31" s="35">
        <f t="shared" si="0"/>
        <v>26</v>
      </c>
      <c r="B31" s="109">
        <v>438</v>
      </c>
      <c r="C31" s="36" t="str">
        <f>IF(ISERROR(VLOOKUP(B31,'START LİSTE'!$B$6:$F$1253,2,0)),"",VLOOKUP(B31,'START LİSTE'!$B$6:$F$1253,2,0))</f>
        <v>MUSTAFA YILMAZ</v>
      </c>
      <c r="D31" s="36" t="str">
        <f>IF(ISERROR(VLOOKUP(B31,'START LİSTE'!$B$6:$F$1253,3,0)),"",VLOOKUP(B31,'START LİSTE'!$B$6:$F$1253,3,0))</f>
        <v>KIRŞEHİR- KIRŞEHİR LİSESİ S. KLB</v>
      </c>
      <c r="E31" s="37" t="str">
        <f>IF(ISERROR(VLOOKUP(B31,'START LİSTE'!$B$6:$F$1253,4,0)),"",VLOOKUP(B31,'START LİSTE'!$B$6:$F$1253,4,0))</f>
        <v>T</v>
      </c>
      <c r="F31" s="38">
        <f>IF(ISERROR(VLOOKUP($B31,'START LİSTE'!$B$6:$F$1253,5,0)),"",VLOOKUP($B31,'START LİSTE'!$B$6:$F$1253,5,0))</f>
        <v>35718</v>
      </c>
      <c r="G31" s="110"/>
      <c r="H31" s="143">
        <f t="shared" si="1"/>
        <v>26</v>
      </c>
    </row>
    <row r="32" spans="1:8" ht="17.25" customHeight="1">
      <c r="A32" s="35">
        <f t="shared" si="0"/>
        <v>27</v>
      </c>
      <c r="B32" s="109">
        <v>442</v>
      </c>
      <c r="C32" s="36" t="str">
        <f>IF(ISERROR(VLOOKUP(B32,'START LİSTE'!$B$6:$F$1253,2,0)),"",VLOOKUP(B32,'START LİSTE'!$B$6:$F$1253,2,0))</f>
        <v>FEVZİ ERSAN</v>
      </c>
      <c r="D32" s="36" t="str">
        <f>IF(ISERROR(VLOOKUP(B32,'START LİSTE'!$B$6:$F$1253,3,0)),"",VLOOKUP(B32,'START LİSTE'!$B$6:$F$1253,3,0))</f>
        <v>KIRŞEHİR - BELEDİYE GENÇLİK SP. K.</v>
      </c>
      <c r="E32" s="37" t="str">
        <f>IF(ISERROR(VLOOKUP(B32,'START LİSTE'!$B$6:$F$1253,4,0)),"",VLOOKUP(B32,'START LİSTE'!$B$6:$F$1253,4,0))</f>
        <v>T</v>
      </c>
      <c r="F32" s="38">
        <f>IF(ISERROR(VLOOKUP($B32,'START LİSTE'!$B$6:$F$1253,5,0)),"",VLOOKUP($B32,'START LİSTE'!$B$6:$F$1253,5,0))</f>
        <v>35704</v>
      </c>
      <c r="G32" s="110"/>
      <c r="H32" s="143">
        <f t="shared" si="1"/>
        <v>27</v>
      </c>
    </row>
    <row r="33" spans="1:8" ht="17.25" customHeight="1">
      <c r="A33" s="35">
        <f t="shared" si="0"/>
        <v>28</v>
      </c>
      <c r="B33" s="109">
        <v>435</v>
      </c>
      <c r="C33" s="36" t="str">
        <f>IF(ISERROR(VLOOKUP(B33,'START LİSTE'!$B$6:$F$1253,2,0)),"",VLOOKUP(B33,'START LİSTE'!$B$6:$F$1253,2,0))</f>
        <v>EYÜP TUMBUL</v>
      </c>
      <c r="D33" s="36" t="str">
        <f>IF(ISERROR(VLOOKUP(B33,'START LİSTE'!$B$6:$F$1253,3,0)),"",VLOOKUP(B33,'START LİSTE'!$B$6:$F$1253,3,0))</f>
        <v>SİVAS-EĞİTİM SPOR</v>
      </c>
      <c r="E33" s="37" t="str">
        <f>IF(ISERROR(VLOOKUP(B33,'START LİSTE'!$B$6:$F$1253,4,0)),"",VLOOKUP(B33,'START LİSTE'!$B$6:$F$1253,4,0))</f>
        <v>T</v>
      </c>
      <c r="F33" s="38">
        <f>IF(ISERROR(VLOOKUP($B33,'START LİSTE'!$B$6:$F$1253,5,0)),"",VLOOKUP($B33,'START LİSTE'!$B$6:$F$1253,5,0))</f>
        <v>35920</v>
      </c>
      <c r="G33" s="110"/>
      <c r="H33" s="143">
        <f t="shared" si="1"/>
        <v>28</v>
      </c>
    </row>
    <row r="34" spans="1:8" ht="17.25" customHeight="1">
      <c r="A34" s="35">
        <f t="shared" si="0"/>
        <v>29</v>
      </c>
      <c r="B34" s="109">
        <v>441</v>
      </c>
      <c r="C34" s="36" t="str">
        <f>IF(ISERROR(VLOOKUP(B34,'START LİSTE'!$B$6:$F$1253,2,0)),"",VLOOKUP(B34,'START LİSTE'!$B$6:$F$1253,2,0))</f>
        <v>ONUR UÇAR</v>
      </c>
      <c r="D34" s="36" t="str">
        <f>IF(ISERROR(VLOOKUP(B34,'START LİSTE'!$B$6:$F$1253,3,0)),"",VLOOKUP(B34,'START LİSTE'!$B$6:$F$1253,3,0))</f>
        <v>KIRŞEHİR- KIRŞEHİR LİSESİ S. KLB</v>
      </c>
      <c r="E34" s="37" t="str">
        <f>IF(ISERROR(VLOOKUP(B34,'START LİSTE'!$B$6:$F$1253,4,0)),"",VLOOKUP(B34,'START LİSTE'!$B$6:$F$1253,4,0))</f>
        <v>T</v>
      </c>
      <c r="F34" s="38">
        <f>IF(ISERROR(VLOOKUP($B34,'START LİSTE'!$B$6:$F$1253,5,0)),"",VLOOKUP($B34,'START LİSTE'!$B$6:$F$1253,5,0))</f>
        <v>35566</v>
      </c>
      <c r="G34" s="110"/>
      <c r="H34" s="143">
        <f t="shared" si="1"/>
        <v>29</v>
      </c>
    </row>
    <row r="35" spans="1:8" ht="17.25" customHeight="1">
      <c r="A35" s="35">
        <f t="shared" si="0"/>
        <v>30</v>
      </c>
      <c r="B35" s="109">
        <v>439</v>
      </c>
      <c r="C35" s="36" t="str">
        <f>IF(ISERROR(VLOOKUP(B35,'START LİSTE'!$B$6:$F$1253,2,0)),"",VLOOKUP(B35,'START LİSTE'!$B$6:$F$1253,2,0))</f>
        <v>CEBRAİL CEYLAN</v>
      </c>
      <c r="D35" s="36" t="str">
        <f>IF(ISERROR(VLOOKUP(B35,'START LİSTE'!$B$6:$F$1253,3,0)),"",VLOOKUP(B35,'START LİSTE'!$B$6:$F$1253,3,0))</f>
        <v>KIRŞEHİR- KIRŞEHİR LİSESİ S. KLB</v>
      </c>
      <c r="E35" s="37" t="str">
        <f>IF(ISERROR(VLOOKUP(B35,'START LİSTE'!$B$6:$F$1253,4,0)),"",VLOOKUP(B35,'START LİSTE'!$B$6:$F$1253,4,0))</f>
        <v>T</v>
      </c>
      <c r="F35" s="38">
        <f>IF(ISERROR(VLOOKUP($B35,'START LİSTE'!$B$6:$F$1253,5,0)),"",VLOOKUP($B35,'START LİSTE'!$B$6:$F$1253,5,0))</f>
        <v>35805</v>
      </c>
      <c r="G35" s="110"/>
      <c r="H35" s="143">
        <f t="shared" si="1"/>
        <v>30</v>
      </c>
    </row>
    <row r="36" spans="1:8" ht="17.25" customHeight="1">
      <c r="A36" s="35">
        <f t="shared" si="0"/>
        <v>31</v>
      </c>
      <c r="B36" s="109">
        <v>443</v>
      </c>
      <c r="C36" s="36" t="str">
        <f>IF(ISERROR(VLOOKUP(B36,'START LİSTE'!$B$6:$F$1253,2,0)),"",VLOOKUP(B36,'START LİSTE'!$B$6:$F$1253,2,0))</f>
        <v>SÜLEYMAN MAMAK</v>
      </c>
      <c r="D36" s="36" t="str">
        <f>IF(ISERROR(VLOOKUP(B36,'START LİSTE'!$B$6:$F$1253,3,0)),"",VLOOKUP(B36,'START LİSTE'!$B$6:$F$1253,3,0))</f>
        <v>KIRŞEHİR - BELEDİYE GENÇLİK SP. K.</v>
      </c>
      <c r="E36" s="37" t="str">
        <f>IF(ISERROR(VLOOKUP(B36,'START LİSTE'!$B$6:$F$1253,4,0)),"",VLOOKUP(B36,'START LİSTE'!$B$6:$F$1253,4,0))</f>
        <v>T</v>
      </c>
      <c r="F36" s="38">
        <f>IF(ISERROR(VLOOKUP($B36,'START LİSTE'!$B$6:$F$1253,5,0)),"",VLOOKUP($B36,'START LİSTE'!$B$6:$F$1253,5,0))</f>
        <v>36031</v>
      </c>
      <c r="G36" s="110"/>
      <c r="H36" s="143" t="s">
        <v>86</v>
      </c>
    </row>
    <row r="37" spans="1:8" ht="17.25" customHeight="1">
      <c r="A37" s="35">
        <f t="shared" si="0"/>
        <v>32</v>
      </c>
      <c r="B37" s="109">
        <v>440</v>
      </c>
      <c r="C37" s="36" t="str">
        <f>IF(ISERROR(VLOOKUP(B37,'START LİSTE'!$B$6:$F$1253,2,0)),"",VLOOKUP(B37,'START LİSTE'!$B$6:$F$1253,2,0))</f>
        <v>YUNUS EMRE BALDEDE</v>
      </c>
      <c r="D37" s="36" t="str">
        <f>IF(ISERROR(VLOOKUP(B37,'START LİSTE'!$B$6:$F$1253,3,0)),"",VLOOKUP(B37,'START LİSTE'!$B$6:$F$1253,3,0))</f>
        <v>KIRŞEHİR- KIRŞEHİR LİSESİ S. KLB</v>
      </c>
      <c r="E37" s="37" t="str">
        <f>IF(ISERROR(VLOOKUP(B37,'START LİSTE'!$B$6:$F$1253,4,0)),"",VLOOKUP(B37,'START LİSTE'!$B$6:$F$1253,4,0))</f>
        <v>T</v>
      </c>
      <c r="F37" s="38">
        <f>IF(ISERROR(VLOOKUP($B37,'START LİSTE'!$B$6:$F$1253,5,0)),"",VLOOKUP($B37,'START LİSTE'!$B$6:$F$1253,5,0))</f>
        <v>35899</v>
      </c>
      <c r="G37" s="110"/>
      <c r="H37" s="143" t="s">
        <v>86</v>
      </c>
    </row>
    <row r="38" spans="1:8" ht="17.25" customHeight="1">
      <c r="A38" s="35">
        <f t="shared" si="0"/>
      </c>
      <c r="B38" s="109"/>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10"/>
      <c r="H38" s="143">
        <f t="shared" si="1"/>
      </c>
    </row>
    <row r="39" spans="1:8" ht="17.25" customHeight="1">
      <c r="A39" s="35">
        <f t="shared" si="0"/>
      </c>
      <c r="B39" s="109"/>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10"/>
      <c r="H39" s="143">
        <f t="shared" si="1"/>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mergeCells count="5">
    <mergeCell ref="A4:C4"/>
    <mergeCell ref="A1:H1"/>
    <mergeCell ref="A2:H2"/>
    <mergeCell ref="A3:H3"/>
    <mergeCell ref="F4:H4"/>
  </mergeCells>
  <conditionalFormatting sqref="H6:H254">
    <cfRule type="containsText" priority="3" dxfId="652" operator="containsText" stopIfTrue="1" text="$E$7=&quot;&quot;F&quot;&quot;">
      <formula>NOT(ISERROR(SEARCH("$E$7=""F""",H6)))</formula>
    </cfRule>
    <cfRule type="containsText" priority="5" dxfId="652" operator="containsText" stopIfTrue="1" text="F=E7">
      <formula>NOT(ISERROR(SEARCH("F=E7",H6)))</formula>
    </cfRule>
  </conditionalFormatting>
  <conditionalFormatting sqref="B6:B254">
    <cfRule type="duplicateValues" priority="184" dxfId="652" stopIfTrue="1">
      <formula>AND(COUNTIF($B$6:$B$254,B6)&gt;1,NOT(ISBLANK(B6)))</formula>
    </cfRule>
  </conditionalFormatting>
  <conditionalFormatting sqref="B6:B254">
    <cfRule type="duplicateValues" priority="1" dxfId="652"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22">
      <selection activeCell="D6" sqref="D6:D40"/>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Kayseri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Kayseri</v>
      </c>
      <c r="B3" s="186"/>
      <c r="C3" s="186"/>
      <c r="D3" s="186"/>
      <c r="E3" s="186"/>
      <c r="F3" s="186"/>
      <c r="G3" s="186"/>
      <c r="H3" s="186"/>
      <c r="I3" s="186"/>
      <c r="J3" s="186"/>
      <c r="K3" s="186"/>
      <c r="L3" s="186"/>
      <c r="M3" s="186"/>
      <c r="N3" s="186"/>
      <c r="O3" s="186"/>
      <c r="BF3" s="2"/>
    </row>
    <row r="4" spans="1:58" s="1" customFormat="1" ht="18" customHeight="1">
      <c r="A4" s="187" t="str">
        <f>KAPAK!B26</f>
        <v>Yıldız Erkekler</v>
      </c>
      <c r="B4" s="187"/>
      <c r="C4" s="187"/>
      <c r="D4" s="182" t="str">
        <f>KAPAK!B25</f>
        <v>3 km.</v>
      </c>
      <c r="E4" s="182"/>
      <c r="F4" s="183">
        <f>KAPAK!B28</f>
        <v>41924.458333333336</v>
      </c>
      <c r="G4" s="183"/>
      <c r="H4" s="183"/>
      <c r="I4" s="183"/>
      <c r="J4" s="183"/>
      <c r="K4" s="183"/>
      <c r="L4" s="183"/>
      <c r="M4" s="183"/>
      <c r="N4" s="183"/>
      <c r="O4" s="183"/>
      <c r="BF4" s="2"/>
    </row>
    <row r="5" spans="1:58" s="4" customFormat="1" ht="26.25" customHeigh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15">
        <v>430</v>
      </c>
      <c r="E6" s="8" t="str">
        <f>IF(ISERROR(VLOOKUP($D6,'START LİSTE'!$B$6:$F$836,2,0)),"",VLOOKUP($D6,'START LİSTE'!$B$6:$F$836,2,0))</f>
        <v>HÜSEYİN  BOZKUŞ</v>
      </c>
      <c r="F6" s="9" t="str">
        <f>IF(ISERROR(VLOOKUP($D6,'START LİSTE'!$B$6:$F$836,4,0)),"",VLOOKUP($D6,'START LİSTE'!$B$6:$F$836,4,0))</f>
        <v>T</v>
      </c>
      <c r="G6" s="112">
        <f>IF(ISERROR(VLOOKUP($D6,'FERDİ SONUÇ'!$B$6:$H$962,6,0)),"",VLOOKUP($D6,'FERDİ SONUÇ'!$B$6:$H$962,6,0))</f>
        <v>908</v>
      </c>
      <c r="H6" s="10">
        <f>IF(OR(F6="",G6="DQ",G6="DNF",G6="DNS",G6=""),"-",VLOOKUP(D6,'FERDİ SONUÇ'!$B$6:$H$962,7,0))</f>
        <v>3</v>
      </c>
      <c r="I6" s="10">
        <f>IF(OR(F6="",F6="F",G6="DQ",G6="DNF",G6="DNS",G6=""),"-",VLOOKUP(D6,'FERDİ SONUÇ'!$B$6:$H$962,7,0))</f>
        <v>3</v>
      </c>
      <c r="J6" s="11">
        <f>IF(ISERROR(SMALL(I6:I9,1)),"-",SMALL(I6:I9,1))</f>
        <v>3</v>
      </c>
      <c r="K6" s="140"/>
      <c r="L6" s="140"/>
      <c r="M6" s="140"/>
      <c r="N6" s="104"/>
      <c r="O6" s="12"/>
      <c r="P6" s="3"/>
      <c r="BF6" s="2">
        <v>1000</v>
      </c>
    </row>
    <row r="7" spans="2:58" s="1" customFormat="1" ht="15" customHeight="1">
      <c r="B7" s="13"/>
      <c r="C7" s="14"/>
      <c r="D7" s="116">
        <v>431</v>
      </c>
      <c r="E7" s="15" t="str">
        <f>IF(ISERROR(VLOOKUP($D7,'START LİSTE'!$B$6:$F$836,2,0)),"",VLOOKUP($D7,'START LİSTE'!$B$6:$F$836,2,0))</f>
        <v>YUNUS  ÖLGER</v>
      </c>
      <c r="F7" s="16" t="str">
        <f>IF(ISERROR(VLOOKUP($D7,'START LİSTE'!$B$6:$F$836,4,0)),"",VLOOKUP($D7,'START LİSTE'!$B$6:$F$836,4,0))</f>
        <v>T</v>
      </c>
      <c r="G7" s="113">
        <f>IF(ISERROR(VLOOKUP($D7,'FERDİ SONUÇ'!$B$6:$H$962,6,0)),"",VLOOKUP($D7,'FERDİ SONUÇ'!$B$6:$H$962,6,0))</f>
        <v>928</v>
      </c>
      <c r="H7" s="17">
        <f>IF(OR(F7="",G7="DQ",G7="DNF",G7="DNS",G7=""),"-",VLOOKUP(D7,'FERDİ SONUÇ'!$B$6:$H$962,7,0))</f>
        <v>7</v>
      </c>
      <c r="I7" s="17">
        <f>IF(OR(F7="",F7="F",G7="DQ",G7="DNF",G7="DNS",G7=""),"-",VLOOKUP(D7,'FERDİ SONUÇ'!$B$6:$H$962,7,0))</f>
        <v>7</v>
      </c>
      <c r="J7" s="18">
        <f>IF(ISERROR(SMALL(I6:I9,2)),"-",SMALL(I6:I9,2))</f>
        <v>7</v>
      </c>
      <c r="K7" s="141"/>
      <c r="L7" s="141"/>
      <c r="M7" s="141"/>
      <c r="N7" s="105"/>
      <c r="O7" s="19"/>
      <c r="P7" s="3"/>
      <c r="BF7" s="2">
        <v>1001</v>
      </c>
    </row>
    <row r="8" spans="1:58" s="1" customFormat="1" ht="15" customHeight="1">
      <c r="A8" s="108">
        <f>IF(AND(C8&lt;&gt;"",O8&lt;&gt;"DQ"),COUNT(O$6:O$1247)-(RANK(O8,O$6:O$1247)+COUNTIF(O$6:O8,O8))+2,IF(D6&lt;&gt;"",BF8,""))</f>
        <v>9</v>
      </c>
      <c r="B8" s="108">
        <f>IF(AND(C8&lt;&gt;"",N8&lt;&gt;"DQ"),COUNT(N$6:N$1247)-(RANK(N8,N$6:N$1247)+COUNTIF(N$6:N8,N8))+2,IF(D6&lt;&gt;"",BF8,""))</f>
        <v>2</v>
      </c>
      <c r="C8" s="14" t="str">
        <f>IF(ISERROR(VLOOKUP(D6,'START LİSTE'!$B$6:$F$836,3,0)),"",VLOOKUP(D6,'START LİSTE'!$B$6:$F$836,3,0))</f>
        <v>KONYA EREĞLİ ŞEKER SPOR</v>
      </c>
      <c r="D8" s="116">
        <v>432</v>
      </c>
      <c r="E8" s="15" t="str">
        <f>IF(ISERROR(VLOOKUP($D8,'START LİSTE'!$B$6:$F$836,2,0)),"",VLOOKUP($D8,'START LİSTE'!$B$6:$F$836,2,0))</f>
        <v>NECATİ BİNGÖL</v>
      </c>
      <c r="F8" s="16" t="str">
        <f>IF(ISERROR(VLOOKUP($D8,'START LİSTE'!$B$6:$F$836,4,0)),"",VLOOKUP($D8,'START LİSTE'!$B$6:$F$836,4,0))</f>
        <v>T</v>
      </c>
      <c r="G8" s="113">
        <f>IF(ISERROR(VLOOKUP($D8,'FERDİ SONUÇ'!$B$6:$H$962,6,0)),"",VLOOKUP($D8,'FERDİ SONUÇ'!$B$6:$H$962,6,0))</f>
        <v>941</v>
      </c>
      <c r="H8" s="17">
        <f>IF(OR(F8="",G8="DQ",G8="DNF",G8="DNS",G8=""),"-",VLOOKUP(D8,'FERDİ SONUÇ'!$B$6:$H$962,7,0))</f>
        <v>8</v>
      </c>
      <c r="I8" s="17">
        <f>IF(OR(F8="",F8="F",G8="DQ",G8="DNF",G8="DNS",G8=""),"-",VLOOKUP(D8,'FERDİ SONUÇ'!$B$6:$H$962,7,0))</f>
        <v>8</v>
      </c>
      <c r="J8" s="18">
        <f>IF(ISERROR(SMALL(I6:I9,3)),"-",SMALL(I6:I9,3))</f>
        <v>8</v>
      </c>
      <c r="K8" s="141"/>
      <c r="L8" s="141"/>
      <c r="M8" s="141"/>
      <c r="N8" s="117">
        <f>_xlfn.IFERROR(IF(C8="","",IF(OR(J6="-",J7="-",J8="-"),"DQ",SUM(J6,J7,J8)))+(J8*0.0001),"DQ")</f>
        <v>18.0008</v>
      </c>
      <c r="O8" s="117">
        <f>IF(C8="","",IF(OR(K8="DQ",L8="DQ",M8="DQ"),"DQ",SUM(K8,L8,M8)))</f>
        <v>0</v>
      </c>
      <c r="P8" s="3"/>
      <c r="BF8" s="2">
        <v>1002</v>
      </c>
    </row>
    <row r="9" spans="2:58" s="1" customFormat="1" ht="15" customHeight="1">
      <c r="B9" s="13"/>
      <c r="C9" s="14"/>
      <c r="D9" s="116">
        <v>433</v>
      </c>
      <c r="E9" s="15" t="str">
        <f>IF(ISERROR(VLOOKUP($D9,'START LİSTE'!$B$6:$F$836,2,0)),"",VLOOKUP($D9,'START LİSTE'!$B$6:$F$836,2,0))</f>
        <v>ABDURRAHMAN  ASLAN</v>
      </c>
      <c r="F9" s="16" t="str">
        <f>IF(ISERROR(VLOOKUP($D9,'START LİSTE'!$B$6:$F$836,4,0)),"",VLOOKUP($D9,'START LİSTE'!$B$6:$F$836,4,0))</f>
        <v>T</v>
      </c>
      <c r="G9" s="113">
        <f>IF(ISERROR(VLOOKUP($D9,'FERDİ SONUÇ'!$B$6:$H$962,6,0)),"",VLOOKUP($D9,'FERDİ SONUÇ'!$B$6:$H$962,6,0))</f>
        <v>0</v>
      </c>
      <c r="H9" s="17">
        <f>IF(OR(F9="",G9="DQ",G9="DNF",G9="DNS",G9=""),"-",VLOOKUP(D9,'FERDİ SONUÇ'!$B$6:$H$962,7,0))</f>
        <v>20</v>
      </c>
      <c r="I9" s="17">
        <f>IF(OR(F9="",F9="F",G9="DQ",G9="DNF",G9="DNS",G9=""),"-",VLOOKUP(D9,'FERDİ SONUÇ'!$B$6:$H$962,7,0))</f>
        <v>20</v>
      </c>
      <c r="J9" s="18">
        <f>IF(ISERROR(SMALL(I6:I9,4)),"-",SMALL(I6:I9,4))</f>
        <v>20</v>
      </c>
      <c r="K9" s="141"/>
      <c r="L9" s="141"/>
      <c r="M9" s="141"/>
      <c r="N9" s="105"/>
      <c r="O9" s="19"/>
      <c r="P9" s="3"/>
      <c r="BF9" s="2">
        <v>1003</v>
      </c>
    </row>
    <row r="10" spans="2:58" ht="15" customHeight="1">
      <c r="B10" s="6"/>
      <c r="C10" s="7"/>
      <c r="D10" s="115">
        <v>434</v>
      </c>
      <c r="E10" s="8" t="str">
        <f>IF(ISERROR(VLOOKUP($D10,'START LİSTE'!$B$6:$F$836,2,0)),"",VLOOKUP($D10,'START LİSTE'!$B$6:$F$836,2,0))</f>
        <v>BURAK YİĞİT</v>
      </c>
      <c r="F10" s="9" t="str">
        <f>IF(ISERROR(VLOOKUP($D10,'START LİSTE'!$B$6:$F$836,4,0)),"",VLOOKUP($D10,'START LİSTE'!$B$6:$F$836,4,0))</f>
        <v>T</v>
      </c>
      <c r="G10" s="112">
        <f>IF(ISERROR(VLOOKUP($D10,'FERDİ SONUÇ'!$B$6:$H$962,6,0)),"",VLOOKUP($D10,'FERDİ SONUÇ'!$B$6:$H$962,6,0))</f>
        <v>0</v>
      </c>
      <c r="H10" s="10">
        <f>IF(OR(F10="",G10="DQ",G10="DNF",G10="DNS",G10=""),"-",VLOOKUP(D10,'FERDİ SONUÇ'!$B$6:$H$962,7,0))</f>
        <v>18</v>
      </c>
      <c r="I10" s="10">
        <f>IF(OR(F10="",F10="F",G10="DQ",G10="DNF",G10="DNS",G10=""),"-",VLOOKUP(D10,'FERDİ SONUÇ'!$B$6:$H$962,7,0))</f>
        <v>18</v>
      </c>
      <c r="J10" s="11">
        <f>IF(ISERROR(SMALL(I10:I13,1)),"-",SMALL(I10:I13,1))</f>
        <v>11</v>
      </c>
      <c r="K10" s="140"/>
      <c r="L10" s="140"/>
      <c r="M10" s="140"/>
      <c r="N10" s="104"/>
      <c r="O10" s="12"/>
      <c r="BF10" s="2">
        <v>1006</v>
      </c>
    </row>
    <row r="11" spans="2:58" ht="15" customHeight="1">
      <c r="B11" s="13"/>
      <c r="C11" s="14"/>
      <c r="D11" s="116">
        <v>435</v>
      </c>
      <c r="E11" s="15" t="str">
        <f>IF(ISERROR(VLOOKUP($D11,'START LİSTE'!$B$6:$F$836,2,0)),"",VLOOKUP($D11,'START LİSTE'!$B$6:$F$836,2,0))</f>
        <v>EYÜP TUMBUL</v>
      </c>
      <c r="F11" s="16" t="str">
        <f>IF(ISERROR(VLOOKUP($D11,'START LİSTE'!$B$6:$F$836,4,0)),"",VLOOKUP($D11,'START LİSTE'!$B$6:$F$836,4,0))</f>
        <v>T</v>
      </c>
      <c r="G11" s="113">
        <f>IF(ISERROR(VLOOKUP($D11,'FERDİ SONUÇ'!$B$6:$H$962,6,0)),"",VLOOKUP($D11,'FERDİ SONUÇ'!$B$6:$H$962,6,0))</f>
        <v>0</v>
      </c>
      <c r="H11" s="17">
        <f>IF(OR(F11="",G11="DQ",G11="DNF",G11="DNS",G11=""),"-",VLOOKUP(D11,'FERDİ SONUÇ'!$B$6:$H$962,7,0))</f>
        <v>28</v>
      </c>
      <c r="I11" s="17">
        <f>IF(OR(F11="",F11="F",G11="DQ",G11="DNF",G11="DNS",G11=""),"-",VLOOKUP(D11,'FERDİ SONUÇ'!$B$6:$H$962,7,0))</f>
        <v>28</v>
      </c>
      <c r="J11" s="18">
        <f>IF(ISERROR(SMALL(I10:I13,2)),"-",SMALL(I10:I13,2))</f>
        <v>18</v>
      </c>
      <c r="K11" s="141"/>
      <c r="L11" s="141"/>
      <c r="M11" s="141"/>
      <c r="N11" s="105"/>
      <c r="O11" s="19"/>
      <c r="BF11" s="2">
        <v>1007</v>
      </c>
    </row>
    <row r="12" spans="1:58" ht="15" customHeight="1">
      <c r="A12" s="108">
        <f>IF(AND(C12&lt;&gt;"",O12&lt;&gt;"DQ"),COUNT(O$6:O$1247)-(RANK(O12,O$6:O$1247)+COUNTIF(O$6:O12,O12))+2,IF(D10&lt;&gt;"",BF12,""))</f>
        <v>8</v>
      </c>
      <c r="B12" s="108">
        <f>IF(AND(C12&lt;&gt;"",N12&lt;&gt;"DQ"),COUNT(N$6:N$1247)-(RANK(N12,N$6:N$1247)+COUNTIF(N$6:N12,N12))+2,IF(D10&lt;&gt;"",BF12,""))</f>
        <v>7</v>
      </c>
      <c r="C12" s="14" t="str">
        <f>IF(ISERROR(VLOOKUP(D10,'START LİSTE'!$B$6:$F$836,3,0)),"",VLOOKUP(D10,'START LİSTE'!$B$6:$F$836,3,0))</f>
        <v>SİVAS-EĞİTİM SPOR</v>
      </c>
      <c r="D12" s="116">
        <v>436</v>
      </c>
      <c r="E12" s="15" t="str">
        <f>IF(ISERROR(VLOOKUP($D12,'START LİSTE'!$B$6:$F$836,2,0)),"",VLOOKUP($D12,'START LİSTE'!$B$6:$F$836,2,0))</f>
        <v>EMRE ÜNALAN</v>
      </c>
      <c r="F12" s="16" t="str">
        <f>IF(ISERROR(VLOOKUP($D12,'START LİSTE'!$B$6:$F$836,4,0)),"",VLOOKUP($D12,'START LİSTE'!$B$6:$F$836,4,0))</f>
        <v>T</v>
      </c>
      <c r="G12" s="113">
        <f>IF(ISERROR(VLOOKUP($D12,'FERDİ SONUÇ'!$B$6:$H$962,6,0)),"",VLOOKUP($D12,'FERDİ SONUÇ'!$B$6:$H$962,6,0))</f>
        <v>1007</v>
      </c>
      <c r="H12" s="17">
        <f>IF(OR(F12="",G12="DQ",G12="DNF",G12="DNS",G12=""),"-",VLOOKUP(D12,'FERDİ SONUÇ'!$B$6:$H$962,7,0))</f>
        <v>11</v>
      </c>
      <c r="I12" s="17">
        <f>IF(OR(F12="",F12="F",G12="DQ",G12="DNF",G12="DNS",G12=""),"-",VLOOKUP(D12,'FERDİ SONUÇ'!$B$6:$H$962,7,0))</f>
        <v>11</v>
      </c>
      <c r="J12" s="18">
        <f>IF(ISERROR(SMALL(I10:I13,3)),"-",SMALL(I10:I13,3))</f>
        <v>24</v>
      </c>
      <c r="K12" s="141"/>
      <c r="L12" s="141"/>
      <c r="M12" s="141"/>
      <c r="N12" s="117">
        <f>_xlfn.IFERROR(IF(C12="","",IF(OR(J10="-",J11="-",J12="-"),"DQ",SUM(J10,J11,J12)))+(J12*0.0001),"DQ")</f>
        <v>53.0024</v>
      </c>
      <c r="O12" s="117">
        <f>IF(C12="","",IF(OR(K12="DQ",L12="DQ",M12="DQ"),"DQ",SUM(K12,L12,M12)))</f>
        <v>0</v>
      </c>
      <c r="BF12" s="2">
        <v>1008</v>
      </c>
    </row>
    <row r="13" spans="2:58" ht="15" customHeight="1">
      <c r="B13" s="13"/>
      <c r="C13" s="14"/>
      <c r="D13" s="116">
        <v>437</v>
      </c>
      <c r="E13" s="15" t="str">
        <f>IF(ISERROR(VLOOKUP($D13,'START LİSTE'!$B$6:$F$836,2,0)),"",VLOOKUP($D13,'START LİSTE'!$B$6:$F$836,2,0))</f>
        <v>SERKAN KOÇAN</v>
      </c>
      <c r="F13" s="16" t="str">
        <f>IF(ISERROR(VLOOKUP($D13,'START LİSTE'!$B$6:$F$836,4,0)),"",VLOOKUP($D13,'START LİSTE'!$B$6:$F$836,4,0))</f>
        <v>T</v>
      </c>
      <c r="G13" s="113">
        <f>IF(ISERROR(VLOOKUP($D13,'FERDİ SONUÇ'!$B$6:$H$962,6,0)),"",VLOOKUP($D13,'FERDİ SONUÇ'!$B$6:$H$962,6,0))</f>
        <v>0</v>
      </c>
      <c r="H13" s="17">
        <f>IF(OR(F13="",G13="DQ",G13="DNF",G13="DNS",G13=""),"-",VLOOKUP(D13,'FERDİ SONUÇ'!$B$6:$H$962,7,0))</f>
        <v>24</v>
      </c>
      <c r="I13" s="17">
        <f>IF(OR(F13="",F13="F",G13="DQ",G13="DNF",G13="DNS",G13=""),"-",VLOOKUP(D13,'FERDİ SONUÇ'!$B$6:$H$962,7,0))</f>
        <v>24</v>
      </c>
      <c r="J13" s="18">
        <f>IF(ISERROR(SMALL(I10:I13,4)),"-",SMALL(I10:I13,4))</f>
        <v>28</v>
      </c>
      <c r="K13" s="141"/>
      <c r="L13" s="141"/>
      <c r="M13" s="141"/>
      <c r="N13" s="105"/>
      <c r="O13" s="19"/>
      <c r="BF13" s="2">
        <v>1009</v>
      </c>
    </row>
    <row r="14" spans="2:58" ht="15" customHeight="1">
      <c r="B14" s="6"/>
      <c r="C14" s="7"/>
      <c r="D14" s="115">
        <v>438</v>
      </c>
      <c r="E14" s="8" t="str">
        <f>IF(ISERROR(VLOOKUP($D14,'START LİSTE'!$B$6:$F$836,2,0)),"",VLOOKUP($D14,'START LİSTE'!$B$6:$F$836,2,0))</f>
        <v>MUSTAFA YILMAZ</v>
      </c>
      <c r="F14" s="9" t="str">
        <f>IF(ISERROR(VLOOKUP($D14,'START LİSTE'!$B$6:$F$836,4,0)),"",VLOOKUP($D14,'START LİSTE'!$B$6:$F$836,4,0))</f>
        <v>T</v>
      </c>
      <c r="G14" s="112">
        <f>IF(ISERROR(VLOOKUP($D14,'FERDİ SONUÇ'!$B$6:$H$962,6,0)),"",VLOOKUP($D14,'FERDİ SONUÇ'!$B$6:$H$962,6,0))</f>
        <v>0</v>
      </c>
      <c r="H14" s="10">
        <f>IF(OR(F14="",G14="DQ",G14="DNF",G14="DNS",G14=""),"-",VLOOKUP(D14,'FERDİ SONUÇ'!$B$6:$H$962,7,0))</f>
        <v>26</v>
      </c>
      <c r="I14" s="10">
        <f>IF(OR(F14="",F14="F",G14="DQ",G14="DNF",G14="DNS",G14=""),"-",VLOOKUP(D14,'FERDİ SONUÇ'!$B$6:$H$962,7,0))</f>
        <v>26</v>
      </c>
      <c r="J14" s="11">
        <f>IF(ISERROR(SMALL(I14:I17,1)),"-",SMALL(I14:I17,1))</f>
        <v>26</v>
      </c>
      <c r="K14" s="140"/>
      <c r="L14" s="140"/>
      <c r="M14" s="140"/>
      <c r="N14" s="104"/>
      <c r="O14" s="12"/>
      <c r="BF14" s="2">
        <v>1012</v>
      </c>
    </row>
    <row r="15" spans="2:58" ht="15" customHeight="1">
      <c r="B15" s="13"/>
      <c r="C15" s="14"/>
      <c r="D15" s="116">
        <v>439</v>
      </c>
      <c r="E15" s="15" t="str">
        <f>IF(ISERROR(VLOOKUP($D15,'START LİSTE'!$B$6:$F$836,2,0)),"",VLOOKUP($D15,'START LİSTE'!$B$6:$F$836,2,0))</f>
        <v>CEBRAİL CEYLAN</v>
      </c>
      <c r="F15" s="16" t="str">
        <f>IF(ISERROR(VLOOKUP($D15,'START LİSTE'!$B$6:$F$836,4,0)),"",VLOOKUP($D15,'START LİSTE'!$B$6:$F$836,4,0))</f>
        <v>T</v>
      </c>
      <c r="G15" s="113">
        <f>IF(ISERROR(VLOOKUP($D15,'FERDİ SONUÇ'!$B$6:$H$962,6,0)),"",VLOOKUP($D15,'FERDİ SONUÇ'!$B$6:$H$962,6,0))</f>
        <v>0</v>
      </c>
      <c r="H15" s="17">
        <f>IF(OR(F15="",G15="DQ",G15="DNF",G15="DNS",G15=""),"-",VLOOKUP(D15,'FERDİ SONUÇ'!$B$6:$H$962,7,0))</f>
        <v>30</v>
      </c>
      <c r="I15" s="17">
        <f>IF(OR(F15="",F15="F",G15="DQ",G15="DNF",G15="DNS",G15=""),"-",VLOOKUP(D15,'FERDİ SONUÇ'!$B$6:$H$962,7,0))</f>
        <v>30</v>
      </c>
      <c r="J15" s="18">
        <f>IF(ISERROR(SMALL(I14:I17,2)),"-",SMALL(I14:I17,2))</f>
        <v>29</v>
      </c>
      <c r="K15" s="141"/>
      <c r="L15" s="141"/>
      <c r="M15" s="141"/>
      <c r="N15" s="105"/>
      <c r="O15" s="19"/>
      <c r="BF15" s="2">
        <v>1013</v>
      </c>
    </row>
    <row r="16" spans="1:58" ht="15" customHeight="1">
      <c r="A16" s="108">
        <f>IF(AND(C16&lt;&gt;"",O16&lt;&gt;"DQ"),COUNT(O$6:O$1247)-(RANK(O16,O$6:O$1247)+COUNTIF(O$6:O16,O16))+2,IF(D14&lt;&gt;"",BF16,""))</f>
        <v>7</v>
      </c>
      <c r="B16" s="108">
        <f>IF(AND(C16&lt;&gt;"",N16&lt;&gt;"DQ"),COUNT(N$6:N$1247)-(RANK(N16,N$6:N$1247)+COUNTIF(N$6:N16,N16))+2,IF(D14&lt;&gt;"",BF16,""))</f>
        <v>9</v>
      </c>
      <c r="C16" s="14" t="str">
        <f>IF(ISERROR(VLOOKUP(D14,'START LİSTE'!$B$6:$F$836,3,0)),"",VLOOKUP(D14,'START LİSTE'!$B$6:$F$836,3,0))</f>
        <v>KIRŞEHİR- KIRŞEHİR LİSESİ S. KLB</v>
      </c>
      <c r="D16" s="116">
        <v>440</v>
      </c>
      <c r="E16" s="15" t="str">
        <f>IF(ISERROR(VLOOKUP($D16,'START LİSTE'!$B$6:$F$836,2,0)),"",VLOOKUP($D16,'START LİSTE'!$B$6:$F$836,2,0))</f>
        <v>YUNUS EMRE BALDEDE</v>
      </c>
      <c r="F16" s="16" t="str">
        <f>IF(ISERROR(VLOOKUP($D16,'START LİSTE'!$B$6:$F$836,4,0)),"",VLOOKUP($D16,'START LİSTE'!$B$6:$F$836,4,0))</f>
        <v>T</v>
      </c>
      <c r="G16" s="113">
        <f>IF(ISERROR(VLOOKUP($D16,'FERDİ SONUÇ'!$B$6:$H$962,6,0)),"",VLOOKUP($D16,'FERDİ SONUÇ'!$B$6:$H$962,6,0))</f>
        <v>0</v>
      </c>
      <c r="H16" s="17" t="str">
        <f>IF(OR(F16="",G16="DQ",G16="DNF",G16="DNS",G16=""),"-",VLOOKUP(D16,'FERDİ SONUÇ'!$B$6:$H$962,7,0))</f>
        <v>DNF</v>
      </c>
      <c r="I16" s="17" t="str">
        <f>IF(OR(F16="",F16="F",G16="DQ",G16="DNF",G16="DNS",G16=""),"-",VLOOKUP(D16,'FERDİ SONUÇ'!$B$6:$H$962,7,0))</f>
        <v>DNF</v>
      </c>
      <c r="J16" s="18">
        <f>IF(ISERROR(SMALL(I14:I17,3)),"-",SMALL(I14:I17,3))</f>
        <v>30</v>
      </c>
      <c r="K16" s="141"/>
      <c r="L16" s="141"/>
      <c r="M16" s="141"/>
      <c r="N16" s="117">
        <f>_xlfn.IFERROR(IF(C16="","",IF(OR(J14="-",J15="-",J16="-"),"DQ",SUM(J14,J15,J16)))+(J16*0.0001),"DQ")</f>
        <v>85.003</v>
      </c>
      <c r="O16" s="117">
        <f>IF(C16="","",IF(OR(K16="DQ",L16="DQ",M16="DQ"),"DQ",SUM(K16,L16,M16)))</f>
        <v>0</v>
      </c>
      <c r="BF16" s="2">
        <v>1014</v>
      </c>
    </row>
    <row r="17" spans="2:58" ht="15" customHeight="1">
      <c r="B17" s="13"/>
      <c r="C17" s="14"/>
      <c r="D17" s="116">
        <v>441</v>
      </c>
      <c r="E17" s="15" t="str">
        <f>IF(ISERROR(VLOOKUP($D17,'START LİSTE'!$B$6:$F$836,2,0)),"",VLOOKUP($D17,'START LİSTE'!$B$6:$F$836,2,0))</f>
        <v>ONUR UÇAR</v>
      </c>
      <c r="F17" s="16" t="str">
        <f>IF(ISERROR(VLOOKUP($D17,'START LİSTE'!$B$6:$F$836,4,0)),"",VLOOKUP($D17,'START LİSTE'!$B$6:$F$836,4,0))</f>
        <v>T</v>
      </c>
      <c r="G17" s="113">
        <f>IF(ISERROR(VLOOKUP($D17,'FERDİ SONUÇ'!$B$6:$H$962,6,0)),"",VLOOKUP($D17,'FERDİ SONUÇ'!$B$6:$H$962,6,0))</f>
        <v>0</v>
      </c>
      <c r="H17" s="17">
        <f>IF(OR(F17="",G17="DQ",G17="DNF",G17="DNS",G17=""),"-",VLOOKUP(D17,'FERDİ SONUÇ'!$B$6:$H$962,7,0))</f>
        <v>29</v>
      </c>
      <c r="I17" s="17">
        <f>IF(OR(F17="",F17="F",G17="DQ",G17="DNF",G17="DNS",G17=""),"-",VLOOKUP(D17,'FERDİ SONUÇ'!$B$6:$H$962,7,0))</f>
        <v>29</v>
      </c>
      <c r="J17" s="18" t="str">
        <f>IF(ISERROR(SMALL(I14:I17,4)),"-",SMALL(I14:I17,4))</f>
        <v>-</v>
      </c>
      <c r="K17" s="141"/>
      <c r="L17" s="141"/>
      <c r="M17" s="141"/>
      <c r="N17" s="105"/>
      <c r="O17" s="19"/>
      <c r="BF17" s="2">
        <v>1015</v>
      </c>
    </row>
    <row r="18" spans="2:58" ht="15" customHeight="1">
      <c r="B18" s="6"/>
      <c r="C18" s="7"/>
      <c r="D18" s="115">
        <v>442</v>
      </c>
      <c r="E18" s="8" t="str">
        <f>IF(ISERROR(VLOOKUP($D18,'START LİSTE'!$B$6:$F$836,2,0)),"",VLOOKUP($D18,'START LİSTE'!$B$6:$F$836,2,0))</f>
        <v>FEVZİ ERSAN</v>
      </c>
      <c r="F18" s="9" t="str">
        <f>IF(ISERROR(VLOOKUP($D18,'START LİSTE'!$B$6:$F$836,4,0)),"",VLOOKUP($D18,'START LİSTE'!$B$6:$F$836,4,0))</f>
        <v>T</v>
      </c>
      <c r="G18" s="112">
        <f>IF(ISERROR(VLOOKUP($D18,'FERDİ SONUÇ'!$B$6:$H$962,6,0)),"",VLOOKUP($D18,'FERDİ SONUÇ'!$B$6:$H$962,6,0))</f>
        <v>0</v>
      </c>
      <c r="H18" s="9">
        <f>IF(OR(F18="",G18="DQ",G18="DNF",G18="DNS",G18=""),"-",VLOOKUP(D18,'FERDİ SONUÇ'!$B$6:$H$962,7,0))</f>
        <v>27</v>
      </c>
      <c r="I18" s="9">
        <f>IF(OR(F18="",F18="F",G18="DQ",G18="DNF",G18="DNS",G18=""),"-",VLOOKUP(D18,'FERDİ SONUÇ'!$B$6:$H$962,7,0))</f>
        <v>27</v>
      </c>
      <c r="J18" s="11">
        <f>IF(ISERROR(SMALL(I18:I21,1)),"-",SMALL(I18:I21,1))</f>
        <v>14</v>
      </c>
      <c r="K18" s="140"/>
      <c r="L18" s="140"/>
      <c r="M18" s="140"/>
      <c r="N18" s="104"/>
      <c r="O18" s="12"/>
      <c r="BF18" s="2">
        <v>1018</v>
      </c>
    </row>
    <row r="19" spans="2:58" ht="15" customHeight="1">
      <c r="B19" s="13"/>
      <c r="C19" s="14"/>
      <c r="D19" s="116">
        <v>443</v>
      </c>
      <c r="E19" s="15" t="str">
        <f>IF(ISERROR(VLOOKUP($D19,'START LİSTE'!$B$6:$F$836,2,0)),"",VLOOKUP($D19,'START LİSTE'!$B$6:$F$836,2,0))</f>
        <v>SÜLEYMAN MAMAK</v>
      </c>
      <c r="F19" s="16" t="str">
        <f>IF(ISERROR(VLOOKUP($D19,'START LİSTE'!$B$6:$F$836,4,0)),"",VLOOKUP($D19,'START LİSTE'!$B$6:$F$836,4,0))</f>
        <v>T</v>
      </c>
      <c r="G19" s="113">
        <f>IF(ISERROR(VLOOKUP($D19,'FERDİ SONUÇ'!$B$6:$H$962,6,0)),"",VLOOKUP($D19,'FERDİ SONUÇ'!$B$6:$H$962,6,0))</f>
        <v>0</v>
      </c>
      <c r="H19" s="16" t="str">
        <f>IF(OR(F19="",G19="DQ",G19="DNF",G19="DNS",G19=""),"-",VLOOKUP(D19,'FERDİ SONUÇ'!$B$6:$H$962,7,0))</f>
        <v>DNF</v>
      </c>
      <c r="I19" s="16" t="str">
        <f>IF(OR(F19="",F19="F",G19="DQ",G19="DNF",G19="DNS",G19=""),"-",VLOOKUP(D19,'FERDİ SONUÇ'!$B$6:$H$962,7,0))</f>
        <v>DNF</v>
      </c>
      <c r="J19" s="18">
        <f>IF(ISERROR(SMALL(I18:I21,2)),"-",SMALL(I18:I21,2))</f>
        <v>25</v>
      </c>
      <c r="K19" s="141"/>
      <c r="L19" s="141"/>
      <c r="M19" s="141"/>
      <c r="N19" s="105"/>
      <c r="O19" s="19"/>
      <c r="BF19" s="2">
        <v>1019</v>
      </c>
    </row>
    <row r="20" spans="1:58" ht="15" customHeight="1">
      <c r="A20" s="108">
        <f>IF(AND(C20&lt;&gt;"",O20&lt;&gt;"DQ"),COUNT(O$6:O$1247)-(RANK(O20,O$6:O$1247)+COUNTIF(O$6:O20,O20))+2,IF(D18&lt;&gt;"",BF20,""))</f>
        <v>6</v>
      </c>
      <c r="B20" s="108">
        <f>IF(AND(C20&lt;&gt;"",N20&lt;&gt;"DQ"),COUNT(N$6:N$1247)-(RANK(N20,N$6:N$1247)+COUNTIF(N$6:N20,N20))+2,IF(D18&lt;&gt;"",BF20,""))</f>
        <v>8</v>
      </c>
      <c r="C20" s="14" t="str">
        <f>IF(ISERROR(VLOOKUP(D18,'START LİSTE'!$B$6:$F$836,3,0)),"",VLOOKUP(D18,'START LİSTE'!$B$6:$F$836,3,0))</f>
        <v>KIRŞEHİR - BELEDİYE GENÇLİK SP. K.</v>
      </c>
      <c r="D20" s="116">
        <v>444</v>
      </c>
      <c r="E20" s="15" t="str">
        <f>IF(ISERROR(VLOOKUP($D20,'START LİSTE'!$B$6:$F$836,2,0)),"",VLOOKUP($D20,'START LİSTE'!$B$6:$F$836,2,0))</f>
        <v>HASAN ÇELİK</v>
      </c>
      <c r="F20" s="16" t="str">
        <f>IF(ISERROR(VLOOKUP($D20,'START LİSTE'!$B$6:$F$836,4,0)),"",VLOOKUP($D20,'START LİSTE'!$B$6:$F$836,4,0))</f>
        <v>T</v>
      </c>
      <c r="G20" s="113">
        <f>IF(ISERROR(VLOOKUP($D20,'FERDİ SONUÇ'!$B$6:$H$962,6,0)),"",VLOOKUP($D20,'FERDİ SONUÇ'!$B$6:$H$962,6,0))</f>
        <v>0</v>
      </c>
      <c r="H20" s="16">
        <f>IF(OR(F20="",G20="DQ",G20="DNF",G20="DNS",G20=""),"-",VLOOKUP(D20,'FERDİ SONUÇ'!$B$6:$H$962,7,0))</f>
        <v>14</v>
      </c>
      <c r="I20" s="16">
        <f>IF(OR(F20="",F20="F",G20="DQ",G20="DNF",G20="DNS",G20=""),"-",VLOOKUP(D20,'FERDİ SONUÇ'!$B$6:$H$962,7,0))</f>
        <v>14</v>
      </c>
      <c r="J20" s="18">
        <f>IF(ISERROR(SMALL(I18:I21,3)),"-",SMALL(I18:I21,3))</f>
        <v>27</v>
      </c>
      <c r="K20" s="141"/>
      <c r="L20" s="141"/>
      <c r="M20" s="141"/>
      <c r="N20" s="117">
        <f>_xlfn.IFERROR(IF(C20="","",IF(OR(J18="-",J19="-",J20="-"),"DQ",SUM(J18,J19,J20)))+(J20*0.0001),"DQ")</f>
        <v>66.0027</v>
      </c>
      <c r="O20" s="117">
        <f>IF(C20="","",IF(OR(K20="DQ",L20="DQ",M20="DQ"),"DQ",SUM(K20,L20,M20)))</f>
        <v>0</v>
      </c>
      <c r="BF20" s="2">
        <v>1020</v>
      </c>
    </row>
    <row r="21" spans="2:58" ht="15" customHeight="1">
      <c r="B21" s="13"/>
      <c r="C21" s="14"/>
      <c r="D21" s="116">
        <v>445</v>
      </c>
      <c r="E21" s="15" t="str">
        <f>IF(ISERROR(VLOOKUP($D21,'START LİSTE'!$B$6:$F$836,2,0)),"",VLOOKUP($D21,'START LİSTE'!$B$6:$F$836,2,0))</f>
        <v>MAHİR DENİZ YİĞİT</v>
      </c>
      <c r="F21" s="16" t="str">
        <f>IF(ISERROR(VLOOKUP($D21,'START LİSTE'!$B$6:$F$836,4,0)),"",VLOOKUP($D21,'START LİSTE'!$B$6:$F$836,4,0))</f>
        <v>T</v>
      </c>
      <c r="G21" s="113">
        <f>IF(ISERROR(VLOOKUP($D21,'FERDİ SONUÇ'!$B$6:$H$962,6,0)),"",VLOOKUP($D21,'FERDİ SONUÇ'!$B$6:$H$962,6,0))</f>
        <v>0</v>
      </c>
      <c r="H21" s="16">
        <f>IF(OR(F21="",G21="DQ",G21="DNF",G21="DNS",G21=""),"-",VLOOKUP(D21,'FERDİ SONUÇ'!$B$6:$H$962,7,0))</f>
        <v>25</v>
      </c>
      <c r="I21" s="16">
        <f>IF(OR(F21="",F21="F",G21="DQ",G21="DNF",G21="DNS",G21=""),"-",VLOOKUP(D21,'FERDİ SONUÇ'!$B$6:$H$962,7,0))</f>
        <v>25</v>
      </c>
      <c r="J21" s="18" t="str">
        <f>IF(ISERROR(SMALL(I18:I21,4)),"-",SMALL(I18:I21,4))</f>
        <v>-</v>
      </c>
      <c r="K21" s="141"/>
      <c r="L21" s="141"/>
      <c r="M21" s="141"/>
      <c r="N21" s="105"/>
      <c r="O21" s="19"/>
      <c r="BF21" s="2">
        <v>1021</v>
      </c>
    </row>
    <row r="22" spans="2:58" ht="15" customHeight="1">
      <c r="B22" s="6"/>
      <c r="C22" s="7"/>
      <c r="D22" s="115">
        <v>446</v>
      </c>
      <c r="E22" s="8" t="str">
        <f>IF(ISERROR(VLOOKUP($D22,'START LİSTE'!$B$6:$F$836,2,0)),"",VLOOKUP($D22,'START LİSTE'!$B$6:$F$836,2,0))</f>
        <v>SAVAŞ ÇAKMAK</v>
      </c>
      <c r="F22" s="9" t="str">
        <f>IF(ISERROR(VLOOKUP($D22,'START LİSTE'!$B$6:$F$836,4,0)),"",VLOOKUP($D22,'START LİSTE'!$B$6:$F$836,4,0))</f>
        <v>T</v>
      </c>
      <c r="G22" s="112">
        <f>IF(ISERROR(VLOOKUP($D22,'FERDİ SONUÇ'!$B$6:$H$962,6,0)),"",VLOOKUP($D22,'FERDİ SONUÇ'!$B$6:$H$962,6,0))</f>
        <v>924</v>
      </c>
      <c r="H22" s="9">
        <f>IF(OR(F22="",G22="DQ",G22="DNF",G22="DNS",G22=""),"-",VLOOKUP(D22,'FERDİ SONUÇ'!$B$6:$H$962,7,0))</f>
        <v>5</v>
      </c>
      <c r="I22" s="9">
        <f>IF(OR(F22="",F22="F",G22="DQ",G22="DNF",G22="DNS",G22=""),"-",VLOOKUP(D22,'FERDİ SONUÇ'!$B$6:$H$962,7,0))</f>
        <v>5</v>
      </c>
      <c r="J22" s="11">
        <f>IF(ISERROR(SMALL(I22:I25,1)),"-",SMALL(I22:I25,1))</f>
        <v>5</v>
      </c>
      <c r="K22" s="140"/>
      <c r="L22" s="140"/>
      <c r="M22" s="140"/>
      <c r="N22" s="104"/>
      <c r="O22" s="12"/>
      <c r="BF22" s="2">
        <v>1024</v>
      </c>
    </row>
    <row r="23" spans="2:58" ht="15" customHeight="1">
      <c r="B23" s="13"/>
      <c r="C23" s="14"/>
      <c r="D23" s="116">
        <v>447</v>
      </c>
      <c r="E23" s="15" t="str">
        <f>IF(ISERROR(VLOOKUP($D23,'START LİSTE'!$B$6:$F$836,2,0)),"",VLOOKUP($D23,'START LİSTE'!$B$6:$F$836,2,0))</f>
        <v>FATİH SABAN</v>
      </c>
      <c r="F23" s="16" t="str">
        <f>IF(ISERROR(VLOOKUP($D23,'START LİSTE'!$B$6:$F$836,4,0)),"",VLOOKUP($D23,'START LİSTE'!$B$6:$F$836,4,0))</f>
        <v>T</v>
      </c>
      <c r="G23" s="113">
        <f>IF(ISERROR(VLOOKUP($D23,'FERDİ SONUÇ'!$B$6:$H$962,6,0)),"",VLOOKUP($D23,'FERDİ SONUÇ'!$B$6:$H$962,6,0))</f>
        <v>0</v>
      </c>
      <c r="H23" s="16">
        <f>IF(OR(F23="",G23="DQ",G23="DNF",G23="DNS",G23=""),"-",VLOOKUP(D23,'FERDİ SONUÇ'!$B$6:$H$962,7,0))</f>
        <v>12</v>
      </c>
      <c r="I23" s="16">
        <f>IF(OR(F23="",F23="F",G23="DQ",G23="DNF",G23="DNS",G23=""),"-",VLOOKUP(D23,'FERDİ SONUÇ'!$B$6:$H$962,7,0))</f>
        <v>12</v>
      </c>
      <c r="J23" s="18">
        <f>IF(ISERROR(SMALL(I22:I25,2)),"-",SMALL(I22:I25,2))</f>
        <v>12</v>
      </c>
      <c r="K23" s="141"/>
      <c r="L23" s="141"/>
      <c r="M23" s="141"/>
      <c r="N23" s="105"/>
      <c r="O23" s="19"/>
      <c r="BF23" s="2">
        <v>1025</v>
      </c>
    </row>
    <row r="24" spans="1:58" ht="15" customHeight="1">
      <c r="A24" s="108">
        <f>IF(AND(C24&lt;&gt;"",O24&lt;&gt;"DQ"),COUNT(O$6:O$1247)-(RANK(O24,O$6:O$1247)+COUNTIF(O$6:O24,O24))+2,IF(D22&lt;&gt;"",BF24,""))</f>
        <v>5</v>
      </c>
      <c r="B24" s="108">
        <f>IF(AND(C24&lt;&gt;"",N24&lt;&gt;"DQ"),COUNT(N$6:N$1247)-(RANK(N24,N$6:N$1247)+COUNTIF(N$6:N24,N24))+2,IF(D22&lt;&gt;"",BF24,""))</f>
        <v>3</v>
      </c>
      <c r="C24" s="14" t="str">
        <f>IF(ISERROR(VLOOKUP(D22,'START LİSTE'!$B$6:$F$836,3,0)),"",VLOOKUP(D22,'START LİSTE'!$B$6:$F$836,3,0))</f>
        <v>NEVŞEHİR 100.YIL ÜLFET BAŞER İO SP. KLB.</v>
      </c>
      <c r="D24" s="116">
        <v>448</v>
      </c>
      <c r="E24" s="15" t="str">
        <f>IF(ISERROR(VLOOKUP($D24,'START LİSTE'!$B$6:$F$836,2,0)),"",VLOOKUP($D24,'START LİSTE'!$B$6:$F$836,2,0))</f>
        <v>FURKAN AÇIKGÖZ</v>
      </c>
      <c r="F24" s="16" t="str">
        <f>IF(ISERROR(VLOOKUP($D24,'START LİSTE'!$B$6:$F$836,4,0)),"",VLOOKUP($D24,'START LİSTE'!$B$6:$F$836,4,0))</f>
        <v>T</v>
      </c>
      <c r="G24" s="113">
        <f>IF(ISERROR(VLOOKUP($D24,'FERDİ SONUÇ'!$B$6:$H$962,6,0)),"",VLOOKUP($D24,'FERDİ SONUÇ'!$B$6:$H$962,6,0))</f>
        <v>0</v>
      </c>
      <c r="H24" s="16">
        <f>IF(OR(F24="",G24="DQ",G24="DNF",G24="DNS",G24=""),"-",VLOOKUP(D24,'FERDİ SONUÇ'!$B$6:$H$962,7,0))</f>
        <v>15</v>
      </c>
      <c r="I24" s="16">
        <f>IF(OR(F24="",F24="F",G24="DQ",G24="DNF",G24="DNS",G24=""),"-",VLOOKUP(D24,'FERDİ SONUÇ'!$B$6:$H$962,7,0))</f>
        <v>15</v>
      </c>
      <c r="J24" s="18">
        <f>IF(ISERROR(SMALL(I22:I25,3)),"-",SMALL(I22:I25,3))</f>
        <v>15</v>
      </c>
      <c r="K24" s="141"/>
      <c r="L24" s="141"/>
      <c r="M24" s="141"/>
      <c r="N24" s="117">
        <f>_xlfn.IFERROR(IF(C24="","",IF(OR(J22="-",J23="-",J24="-"),"DQ",SUM(J22,J23,J24)))+(J24*0.0001),"DQ")</f>
        <v>32.0015</v>
      </c>
      <c r="O24" s="117">
        <f>IF(C24="","",IF(OR(K24="DQ",L24="DQ",M24="DQ"),"DQ",SUM(K24,L24,M24)))</f>
        <v>0</v>
      </c>
      <c r="BF24" s="2">
        <v>1026</v>
      </c>
    </row>
    <row r="25" spans="2:58" ht="15" customHeight="1">
      <c r="B25" s="13"/>
      <c r="C25" s="14"/>
      <c r="D25" s="116">
        <v>449</v>
      </c>
      <c r="E25" s="15" t="str">
        <f>IF(ISERROR(VLOOKUP($D25,'START LİSTE'!$B$6:$F$836,2,0)),"",VLOOKUP($D25,'START LİSTE'!$B$6:$F$836,2,0))</f>
        <v>MUSTAFA SOYLU</v>
      </c>
      <c r="F25" s="16" t="str">
        <f>IF(ISERROR(VLOOKUP($D25,'START LİSTE'!$B$6:$F$836,4,0)),"",VLOOKUP($D25,'START LİSTE'!$B$6:$F$836,4,0))</f>
        <v>T</v>
      </c>
      <c r="G25" s="113">
        <f>IF(ISERROR(VLOOKUP($D25,'FERDİ SONUÇ'!$B$6:$H$962,6,0)),"",VLOOKUP($D25,'FERDİ SONUÇ'!$B$6:$H$962,6,0))</f>
      </c>
      <c r="H25" s="16" t="str">
        <f>IF(OR(F25="",G25="DQ",G25="DNF",G25="DNS",G25=""),"-",VLOOKUP(D25,'FERDİ SONUÇ'!$B$6:$H$962,7,0))</f>
        <v>-</v>
      </c>
      <c r="I25" s="16" t="str">
        <f>IF(OR(F25="",F25="F",G25="DQ",G25="DNF",G25="DNS",G25=""),"-",VLOOKUP(D25,'FERDİ SONUÇ'!$B$6:$H$962,7,0))</f>
        <v>-</v>
      </c>
      <c r="J25" s="18" t="str">
        <f>IF(ISERROR(SMALL(I22:I25,4)),"-",SMALL(I22:I25,4))</f>
        <v>-</v>
      </c>
      <c r="K25" s="141"/>
      <c r="L25" s="141"/>
      <c r="M25" s="141"/>
      <c r="N25" s="105"/>
      <c r="O25" s="19"/>
      <c r="BF25" s="2">
        <v>1027</v>
      </c>
    </row>
    <row r="26" spans="2:58" ht="15" customHeight="1">
      <c r="B26" s="6"/>
      <c r="C26" s="7"/>
      <c r="D26" s="115">
        <v>450</v>
      </c>
      <c r="E26" s="8" t="str">
        <f>IF(ISERROR(VLOOKUP($D26,'START LİSTE'!$B$6:$F$836,2,0)),"",VLOOKUP($D26,'START LİSTE'!$B$6:$F$836,2,0))</f>
        <v>BEKİR KABADAYI </v>
      </c>
      <c r="F26" s="9" t="str">
        <f>IF(ISERROR(VLOOKUP($D26,'START LİSTE'!$B$6:$F$836,4,0)),"",VLOOKUP($D26,'START LİSTE'!$B$6:$F$836,4,0))</f>
        <v>T</v>
      </c>
      <c r="G26" s="112">
        <f>IF(ISERROR(VLOOKUP($D26,'FERDİ SONUÇ'!$B$6:$H$962,6,0)),"",VLOOKUP($D26,'FERDİ SONUÇ'!$B$6:$H$962,6,0))</f>
        <v>849</v>
      </c>
      <c r="H26" s="9">
        <f>IF(OR(F26="",G26="DQ",G26="DNF",G26="DNS",G26=""),"-",VLOOKUP(D26,'FERDİ SONUÇ'!$B$6:$H$962,7,0))</f>
        <v>1</v>
      </c>
      <c r="I26" s="9">
        <f>IF(OR(F26="",F26="F",G26="DQ",G26="DNF",G26="DNS",G26=""),"-",VLOOKUP(D26,'FERDİ SONUÇ'!$B$6:$H$962,7,0))</f>
        <v>1</v>
      </c>
      <c r="J26" s="11">
        <f>IF(ISERROR(SMALL(I26:I29,1)),"-",SMALL(I26:I29,1))</f>
        <v>1</v>
      </c>
      <c r="K26" s="140"/>
      <c r="L26" s="140"/>
      <c r="M26" s="140"/>
      <c r="N26" s="104"/>
      <c r="O26" s="12"/>
      <c r="BF26" s="2">
        <v>1030</v>
      </c>
    </row>
    <row r="27" spans="2:58" ht="15" customHeight="1">
      <c r="B27" s="13"/>
      <c r="C27" s="14"/>
      <c r="D27" s="116">
        <v>451</v>
      </c>
      <c r="E27" s="15" t="str">
        <f>IF(ISERROR(VLOOKUP($D27,'START LİSTE'!$B$6:$F$836,2,0)),"",VLOOKUP($D27,'START LİSTE'!$B$6:$F$836,2,0))</f>
        <v>OĞUZHAN  FURKAN DEDE</v>
      </c>
      <c r="F27" s="16" t="str">
        <f>IF(ISERROR(VLOOKUP($D27,'START LİSTE'!$B$6:$F$836,4,0)),"",VLOOKUP($D27,'START LİSTE'!$B$6:$F$836,4,0))</f>
        <v>T</v>
      </c>
      <c r="G27" s="113">
        <f>IF(ISERROR(VLOOKUP($D27,'FERDİ SONUÇ'!$B$6:$H$962,6,0)),"",VLOOKUP($D27,'FERDİ SONUÇ'!$B$6:$H$962,6,0))</f>
        <v>909</v>
      </c>
      <c r="H27" s="16">
        <f>IF(OR(F27="",G27="DQ",G27="DNF",G27="DNS",G27=""),"-",VLOOKUP(D27,'FERDİ SONUÇ'!$B$6:$H$962,7,0))</f>
        <v>4</v>
      </c>
      <c r="I27" s="16">
        <f>IF(OR(F27="",F27="F",G27="DQ",G27="DNF",G27="DNS",G27=""),"-",VLOOKUP(D27,'FERDİ SONUÇ'!$B$6:$H$962,7,0))</f>
        <v>4</v>
      </c>
      <c r="J27" s="18">
        <f>IF(ISERROR(SMALL(I26:I29,2)),"-",SMALL(I26:I29,2))</f>
        <v>2</v>
      </c>
      <c r="K27" s="141"/>
      <c r="L27" s="141"/>
      <c r="M27" s="141"/>
      <c r="N27" s="105"/>
      <c r="O27" s="19"/>
      <c r="BF27" s="2">
        <v>1031</v>
      </c>
    </row>
    <row r="28" spans="1:58" ht="15" customHeight="1">
      <c r="A28" s="108">
        <f>IF(AND(C28&lt;&gt;"",O28&lt;&gt;"DQ"),COUNT(O$6:O$1247)-(RANK(O28,O$6:O$1247)+COUNTIF(O$6:O28,O28))+2,IF(D26&lt;&gt;"",BF28,""))</f>
        <v>4</v>
      </c>
      <c r="B28" s="108">
        <f>IF(AND(C28&lt;&gt;"",N28&lt;&gt;"DQ"),COUNT(N$6:N$1247)-(RANK(N28,N$6:N$1247)+COUNTIF(N$6:N28,N28))+2,IF(D26&lt;&gt;"",BF28,""))</f>
        <v>1</v>
      </c>
      <c r="C28" s="14" t="str">
        <f>IF(ISERROR(VLOOKUP(D26,'START LİSTE'!$B$6:$F$836,3,0)),"",VLOOKUP(D26,'START LİSTE'!$B$6:$F$836,3,0))</f>
        <v>ANKARA-BB ANKARASPOR</v>
      </c>
      <c r="D28" s="116">
        <v>452</v>
      </c>
      <c r="E28" s="15" t="str">
        <f>IF(ISERROR(VLOOKUP($D28,'START LİSTE'!$B$6:$F$836,2,0)),"",VLOOKUP($D28,'START LİSTE'!$B$6:$F$836,2,0))</f>
        <v>NİHAT TOKMAK</v>
      </c>
      <c r="F28" s="16" t="str">
        <f>IF(ISERROR(VLOOKUP($D28,'START LİSTE'!$B$6:$F$836,4,0)),"",VLOOKUP($D28,'START LİSTE'!$B$6:$F$836,4,0))</f>
        <v>T</v>
      </c>
      <c r="G28" s="113">
        <f>IF(ISERROR(VLOOKUP($D28,'FERDİ SONUÇ'!$B$6:$H$962,6,0)),"",VLOOKUP($D28,'FERDİ SONUÇ'!$B$6:$H$962,6,0))</f>
        <v>927</v>
      </c>
      <c r="H28" s="16">
        <f>IF(OR(F28="",G28="DQ",G28="DNF",G28="DNS",G28=""),"-",VLOOKUP(D28,'FERDİ SONUÇ'!$B$6:$H$962,7,0))</f>
        <v>6</v>
      </c>
      <c r="I28" s="16">
        <f>IF(OR(F28="",F28="F",G28="DQ",G28="DNF",G28="DNS",G28=""),"-",VLOOKUP(D28,'FERDİ SONUÇ'!$B$6:$H$962,7,0))</f>
        <v>6</v>
      </c>
      <c r="J28" s="18">
        <f>IF(ISERROR(SMALL(I26:I29,3)),"-",SMALL(I26:I29,3))</f>
        <v>4</v>
      </c>
      <c r="K28" s="141"/>
      <c r="L28" s="141"/>
      <c r="M28" s="141"/>
      <c r="N28" s="117">
        <f>_xlfn.IFERROR(IF(C28="","",IF(OR(J26="-",J27="-",J28="-"),"DQ",SUM(J26,J27,J28)))+(J28*0.0001),"DQ")</f>
        <v>7.0004</v>
      </c>
      <c r="O28" s="117">
        <f>IF(C28="","",IF(OR(K28="DQ",L28="DQ",M28="DQ"),"DQ",SUM(K28,L28,M28)))</f>
        <v>0</v>
      </c>
      <c r="BF28" s="2">
        <v>1032</v>
      </c>
    </row>
    <row r="29" spans="2:58" ht="15" customHeight="1">
      <c r="B29" s="13"/>
      <c r="C29" s="14"/>
      <c r="D29" s="116">
        <v>453</v>
      </c>
      <c r="E29" s="15" t="str">
        <f>IF(ISERROR(VLOOKUP($D29,'START LİSTE'!$B$6:$F$836,2,0)),"",VLOOKUP($D29,'START LİSTE'!$B$6:$F$836,2,0))</f>
        <v>OĞUZHAN TAŞDEMİR</v>
      </c>
      <c r="F29" s="16" t="str">
        <f>IF(ISERROR(VLOOKUP($D29,'START LİSTE'!$B$6:$F$836,4,0)),"",VLOOKUP($D29,'START LİSTE'!$B$6:$F$836,4,0))</f>
        <v>T</v>
      </c>
      <c r="G29" s="113">
        <f>IF(ISERROR(VLOOKUP($D29,'FERDİ SONUÇ'!$B$6:$H$962,6,0)),"",VLOOKUP($D29,'FERDİ SONUÇ'!$B$6:$H$962,6,0))</f>
        <v>901</v>
      </c>
      <c r="H29" s="16">
        <f>IF(OR(F29="",G29="DQ",G29="DNF",G29="DNS",G29=""),"-",VLOOKUP(D29,'FERDİ SONUÇ'!$B$6:$H$962,7,0))</f>
        <v>2</v>
      </c>
      <c r="I29" s="16">
        <f>IF(OR(F29="",F29="F",G29="DQ",G29="DNF",G29="DNS",G29=""),"-",VLOOKUP(D29,'FERDİ SONUÇ'!$B$6:$H$962,7,0))</f>
        <v>2</v>
      </c>
      <c r="J29" s="18">
        <f>IF(ISERROR(SMALL(I26:I29,4)),"-",SMALL(I26:I29,4))</f>
        <v>6</v>
      </c>
      <c r="K29" s="141"/>
      <c r="L29" s="141"/>
      <c r="M29" s="141"/>
      <c r="N29" s="105"/>
      <c r="O29" s="19"/>
      <c r="BF29" s="2">
        <v>1033</v>
      </c>
    </row>
    <row r="30" spans="2:58" ht="15" customHeight="1">
      <c r="B30" s="6"/>
      <c r="C30" s="7"/>
      <c r="D30" s="115">
        <v>454</v>
      </c>
      <c r="E30" s="8" t="str">
        <f>IF(ISERROR(VLOOKUP($D30,'START LİSTE'!$B$6:$F$836,2,0)),"",VLOOKUP($D30,'START LİSTE'!$B$6:$F$836,2,0))</f>
        <v>EDİP ERÇİN</v>
      </c>
      <c r="F30" s="9" t="str">
        <f>IF(ISERROR(VLOOKUP($D30,'START LİSTE'!$B$6:$F$836,4,0)),"",VLOOKUP($D30,'START LİSTE'!$B$6:$F$836,4,0))</f>
        <v>T</v>
      </c>
      <c r="G30" s="112">
        <f>IF(ISERROR(VLOOKUP($D30,'FERDİ SONUÇ'!$B$6:$H$962,6,0)),"",VLOOKUP($D30,'FERDİ SONUÇ'!$B$6:$H$962,6,0))</f>
        <v>1004</v>
      </c>
      <c r="H30" s="9">
        <f>IF(OR(F30="",G30="DQ",G30="DNF",G30="DNS",G30=""),"-",VLOOKUP(D30,'FERDİ SONUÇ'!$B$6:$H$962,7,0))</f>
        <v>10</v>
      </c>
      <c r="I30" s="9">
        <f>IF(OR(F30="",F30="F",G30="DQ",G30="DNF",G30="DNS",G30=""),"-",VLOOKUP(D30,'FERDİ SONUÇ'!$B$6:$H$962,7,0))</f>
        <v>10</v>
      </c>
      <c r="J30" s="11">
        <f>IF(ISERROR(SMALL(I30:I33,1)),"-",SMALL(I30:I33,1))</f>
        <v>10</v>
      </c>
      <c r="K30" s="140"/>
      <c r="L30" s="140"/>
      <c r="M30" s="140"/>
      <c r="N30" s="104"/>
      <c r="O30" s="12"/>
      <c r="BF30" s="2">
        <v>1036</v>
      </c>
    </row>
    <row r="31" spans="2:58" ht="15" customHeight="1">
      <c r="B31" s="13"/>
      <c r="C31" s="14"/>
      <c r="D31" s="116">
        <v>455</v>
      </c>
      <c r="E31" s="15" t="str">
        <f>IF(ISERROR(VLOOKUP($D31,'START LİSTE'!$B$6:$F$836,2,0)),"",VLOOKUP($D31,'START LİSTE'!$B$6:$F$836,2,0))</f>
        <v>FURKAN GÜVERCİNLİ</v>
      </c>
      <c r="F31" s="16" t="str">
        <f>IF(ISERROR(VLOOKUP($D31,'START LİSTE'!$B$6:$F$836,4,0)),"",VLOOKUP($D31,'START LİSTE'!$B$6:$F$836,4,0))</f>
        <v>T</v>
      </c>
      <c r="G31" s="113">
        <f>IF(ISERROR(VLOOKUP($D31,'FERDİ SONUÇ'!$B$6:$H$962,6,0)),"",VLOOKUP($D31,'FERDİ SONUÇ'!$B$6:$H$962,6,0))</f>
        <v>0</v>
      </c>
      <c r="H31" s="16">
        <f>IF(OR(F31="",G31="DQ",G31="DNF",G31="DNS",G31=""),"-",VLOOKUP(D31,'FERDİ SONUÇ'!$B$6:$H$962,7,0))</f>
        <v>17</v>
      </c>
      <c r="I31" s="16">
        <f>IF(OR(F31="",F31="F",G31="DQ",G31="DNF",G31="DNS",G31=""),"-",VLOOKUP(D31,'FERDİ SONUÇ'!$B$6:$H$962,7,0))</f>
        <v>17</v>
      </c>
      <c r="J31" s="18">
        <f>IF(ISERROR(SMALL(I30:I33,2)),"-",SMALL(I30:I33,2))</f>
        <v>17</v>
      </c>
      <c r="K31" s="141"/>
      <c r="L31" s="141"/>
      <c r="M31" s="141"/>
      <c r="N31" s="105"/>
      <c r="O31" s="19"/>
      <c r="BF31" s="2">
        <v>1037</v>
      </c>
    </row>
    <row r="32" spans="1:58" ht="15" customHeight="1">
      <c r="A32" s="108">
        <f>IF(AND(C32&lt;&gt;"",O32&lt;&gt;"DQ"),COUNT(O$6:O$1247)-(RANK(O32,O$6:O$1247)+COUNTIF(O$6:O32,O32))+2,IF(D30&lt;&gt;"",BF32,""))</f>
        <v>3</v>
      </c>
      <c r="B32" s="108">
        <f>IF(AND(C32&lt;&gt;"",N32&lt;&gt;"DQ"),COUNT(N$6:N$1247)-(RANK(N32,N$6:N$1247)+COUNTIF(N$6:N32,N32))+2,IF(D30&lt;&gt;"",BF32,""))</f>
        <v>4</v>
      </c>
      <c r="C32" s="14" t="str">
        <f>IF(ISERROR(VLOOKUP(D30,'START LİSTE'!$B$6:$F$836,3,0)),"",VLOOKUP(D30,'START LİSTE'!$B$6:$F$836,3,0))</f>
        <v>NEVŞEHİR GHSİM S.K</v>
      </c>
      <c r="D32" s="116">
        <v>456</v>
      </c>
      <c r="E32" s="15" t="str">
        <f>IF(ISERROR(VLOOKUP($D32,'START LİSTE'!$B$6:$F$836,2,0)),"",VLOOKUP($D32,'START LİSTE'!$B$6:$F$836,2,0))</f>
        <v>ZEKERYA KOCATEPE</v>
      </c>
      <c r="F32" s="16" t="str">
        <f>IF(ISERROR(VLOOKUP($D32,'START LİSTE'!$B$6:$F$836,4,0)),"",VLOOKUP($D32,'START LİSTE'!$B$6:$F$836,4,0))</f>
        <v>T</v>
      </c>
      <c r="G32" s="113">
        <f>IF(ISERROR(VLOOKUP($D32,'FERDİ SONUÇ'!$B$6:$H$962,6,0)),"",VLOOKUP($D32,'FERDİ SONUÇ'!$B$6:$H$962,6,0))</f>
        <v>0</v>
      </c>
      <c r="H32" s="16">
        <f>IF(OR(F32="",G32="DQ",G32="DNF",G32="DNS",G32=""),"-",VLOOKUP(D32,'FERDİ SONUÇ'!$B$6:$H$962,7,0))</f>
        <v>19</v>
      </c>
      <c r="I32" s="16">
        <f>IF(OR(F32="",F32="F",G32="DQ",G32="DNF",G32="DNS",G32=""),"-",VLOOKUP(D32,'FERDİ SONUÇ'!$B$6:$H$962,7,0))</f>
        <v>19</v>
      </c>
      <c r="J32" s="18">
        <f>IF(ISERROR(SMALL(I30:I33,3)),"-",SMALL(I30:I33,3))</f>
        <v>19</v>
      </c>
      <c r="K32" s="141"/>
      <c r="L32" s="141"/>
      <c r="M32" s="141"/>
      <c r="N32" s="117">
        <f>_xlfn.IFERROR(IF(C32="","",IF(OR(J30="-",J31="-",J32="-"),"DQ",SUM(J30,J31,J32)))+(J32*0.0001),"DQ")</f>
        <v>46.0019</v>
      </c>
      <c r="O32" s="117">
        <f>IF(C32="","",IF(OR(K32="DQ",L32="DQ",M32="DQ"),"DQ",SUM(K32,L32,M32)))</f>
        <v>0</v>
      </c>
      <c r="BF32" s="2">
        <v>1038</v>
      </c>
    </row>
    <row r="33" spans="2:58" ht="15" customHeight="1">
      <c r="B33" s="13"/>
      <c r="C33" s="14"/>
      <c r="D33" s="116">
        <v>457</v>
      </c>
      <c r="E33" s="15" t="str">
        <f>IF(ISERROR(VLOOKUP($D33,'START LİSTE'!$B$6:$F$836,2,0)),"",VLOOKUP($D33,'START LİSTE'!$B$6:$F$836,2,0))</f>
        <v>HAKAN KÖSTEKÇİ</v>
      </c>
      <c r="F33" s="16" t="str">
        <f>IF(ISERROR(VLOOKUP($D33,'START LİSTE'!$B$6:$F$836,4,0)),"",VLOOKUP($D33,'START LİSTE'!$B$6:$F$836,4,0))</f>
        <v>T</v>
      </c>
      <c r="G33" s="113">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41"/>
      <c r="L33" s="141"/>
      <c r="M33" s="141"/>
      <c r="N33" s="105"/>
      <c r="O33" s="19"/>
      <c r="BF33" s="2">
        <v>1039</v>
      </c>
    </row>
    <row r="34" spans="2:58" ht="15" customHeight="1">
      <c r="B34" s="6"/>
      <c r="C34" s="7"/>
      <c r="D34" s="115">
        <v>458</v>
      </c>
      <c r="E34" s="8" t="str">
        <f>IF(ISERROR(VLOOKUP($D34,'START LİSTE'!$B$6:$F$836,2,0)),"",VLOOKUP($D34,'START LİSTE'!$B$6:$F$836,2,0))</f>
        <v>AHAT KARATAŞ</v>
      </c>
      <c r="F34" s="9" t="str">
        <f>IF(ISERROR(VLOOKUP($D34,'START LİSTE'!$B$6:$F$836,4,0)),"",VLOOKUP($D34,'START LİSTE'!$B$6:$F$836,4,0))</f>
        <v>T</v>
      </c>
      <c r="G34" s="112">
        <f>IF(ISERROR(VLOOKUP($D34,'FERDİ SONUÇ'!$B$6:$H$962,6,0)),"",VLOOKUP($D34,'FERDİ SONUÇ'!$B$6:$H$962,6,0))</f>
        <v>0</v>
      </c>
      <c r="H34" s="9">
        <f>IF(OR(F34="",G34="DQ",G34="DNF",G34="DNS",G34=""),"-",VLOOKUP(D34,'FERDİ SONUÇ'!$B$6:$H$962,7,0))</f>
        <v>23</v>
      </c>
      <c r="I34" s="9">
        <f>IF(OR(F34="",F34="F",G34="DQ",G34="DNF",G34="DNS",G34=""),"-",VLOOKUP(D34,'FERDİ SONUÇ'!$B$6:$H$962,7,0))</f>
        <v>23</v>
      </c>
      <c r="J34" s="11">
        <f>IF(ISERROR(SMALL(I34:I37,1)),"-",SMALL(I34:I37,1))</f>
        <v>13</v>
      </c>
      <c r="K34" s="140"/>
      <c r="L34" s="140"/>
      <c r="M34" s="140"/>
      <c r="N34" s="104"/>
      <c r="O34" s="12"/>
      <c r="BF34" s="2">
        <v>1042</v>
      </c>
    </row>
    <row r="35" spans="2:58" ht="15" customHeight="1">
      <c r="B35" s="13"/>
      <c r="C35" s="14"/>
      <c r="D35" s="116">
        <v>459</v>
      </c>
      <c r="E35" s="15" t="str">
        <f>IF(ISERROR(VLOOKUP($D35,'START LİSTE'!$B$6:$F$836,2,0)),"",VLOOKUP($D35,'START LİSTE'!$B$6:$F$836,2,0))</f>
        <v>EMRE DOĞAN</v>
      </c>
      <c r="F35" s="16" t="str">
        <f>IF(ISERROR(VLOOKUP($D35,'START LİSTE'!$B$6:$F$836,4,0)),"",VLOOKUP($D35,'START LİSTE'!$B$6:$F$836,4,0))</f>
        <v>T</v>
      </c>
      <c r="G35" s="113">
        <f>IF(ISERROR(VLOOKUP($D35,'FERDİ SONUÇ'!$B$6:$H$962,6,0)),"",VLOOKUP($D35,'FERDİ SONUÇ'!$B$6:$H$962,6,0))</f>
        <v>0</v>
      </c>
      <c r="H35" s="16">
        <f>IF(OR(F35="",G35="DQ",G35="DNF",G35="DNS",G35=""),"-",VLOOKUP(D35,'FERDİ SONUÇ'!$B$6:$H$962,7,0))</f>
        <v>16</v>
      </c>
      <c r="I35" s="16">
        <f>IF(OR(F35="",F35="F",G35="DQ",G35="DNF",G35="DNS",G35=""),"-",VLOOKUP(D35,'FERDİ SONUÇ'!$B$6:$H$962,7,0))</f>
        <v>16</v>
      </c>
      <c r="J35" s="18">
        <f>IF(ISERROR(SMALL(I34:I37,2)),"-",SMALL(I34:I37,2))</f>
        <v>16</v>
      </c>
      <c r="K35" s="141"/>
      <c r="L35" s="141"/>
      <c r="M35" s="141"/>
      <c r="N35" s="105"/>
      <c r="O35" s="19"/>
      <c r="BF35" s="2">
        <v>1043</v>
      </c>
    </row>
    <row r="36" spans="1:58" ht="15" customHeight="1">
      <c r="A36" s="108">
        <f>IF(AND(C36&lt;&gt;"",O36&lt;&gt;"DQ"),COUNT(O$6:O$1247)-(RANK(O36,O$6:O$1247)+COUNTIF(O$6:O36,O36))+2,IF(D34&lt;&gt;"",BF36,""))</f>
        <v>2</v>
      </c>
      <c r="B36" s="108">
        <f>IF(AND(C36&lt;&gt;"",N36&lt;&gt;"DQ"),COUNT(N$6:N$1247)-(RANK(N36,N$6:N$1247)+COUNTIF(N$6:N36,N36))+2,IF(D34&lt;&gt;"",BF36,""))</f>
        <v>6</v>
      </c>
      <c r="C36" s="14" t="str">
        <f>IF(ISERROR(VLOOKUP(D34,'START LİSTE'!$B$6:$F$836,3,0)),"",VLOOKUP(D34,'START LİSTE'!$B$6:$F$836,3,0))</f>
        <v>SPORCU EĞİTİM MERKEZİGENÇLİK VE SPOR KÜLÜBÜ</v>
      </c>
      <c r="D36" s="116">
        <v>460</v>
      </c>
      <c r="E36" s="15" t="str">
        <f>IF(ISERROR(VLOOKUP($D36,'START LİSTE'!$B$6:$F$836,2,0)),"",VLOOKUP($D36,'START LİSTE'!$B$6:$F$836,2,0))</f>
        <v>UMUT BİNİCİ</v>
      </c>
      <c r="F36" s="16" t="str">
        <f>IF(ISERROR(VLOOKUP($D36,'START LİSTE'!$B$6:$F$836,4,0)),"",VLOOKUP($D36,'START LİSTE'!$B$6:$F$836,4,0))</f>
        <v>T</v>
      </c>
      <c r="G36" s="113">
        <f>IF(ISERROR(VLOOKUP($D36,'FERDİ SONUÇ'!$B$6:$H$962,6,0)),"",VLOOKUP($D36,'FERDİ SONUÇ'!$B$6:$H$962,6,0))</f>
        <v>0</v>
      </c>
      <c r="H36" s="16">
        <f>IF(OR(F36="",G36="DQ",G36="DNF",G36="DNS",G36=""),"-",VLOOKUP(D36,'FERDİ SONUÇ'!$B$6:$H$962,7,0))</f>
        <v>13</v>
      </c>
      <c r="I36" s="16">
        <f>IF(OR(F36="",F36="F",G36="DQ",G36="DNF",G36="DNS",G36=""),"-",VLOOKUP(D36,'FERDİ SONUÇ'!$B$6:$H$962,7,0))</f>
        <v>13</v>
      </c>
      <c r="J36" s="18">
        <f>IF(ISERROR(SMALL(I34:I37,3)),"-",SMALL(I34:I37,3))</f>
        <v>23</v>
      </c>
      <c r="K36" s="141"/>
      <c r="L36" s="141"/>
      <c r="M36" s="141"/>
      <c r="N36" s="117">
        <f>_xlfn.IFERROR(IF(C36="","",IF(OR(J34="-",J35="-",J36="-"),"DQ",SUM(J34,J35,J36)))+(J36*0.0001),"DQ")</f>
        <v>52.0023</v>
      </c>
      <c r="O36" s="117">
        <f>IF(C36="","",IF(OR(K36="DQ",L36="DQ",M36="DQ"),"DQ",SUM(K36,L36,M36)))</f>
        <v>0</v>
      </c>
      <c r="BF36" s="2">
        <v>1044</v>
      </c>
    </row>
    <row r="37" spans="2:58" ht="15" customHeight="1">
      <c r="B37" s="13"/>
      <c r="C37" s="14"/>
      <c r="D37" s="116"/>
      <c r="E37" s="15">
        <f>IF(ISERROR(VLOOKUP($D37,'START LİSTE'!$B$6:$F$836,2,0)),"",VLOOKUP($D37,'START LİSTE'!$B$6:$F$836,2,0))</f>
      </c>
      <c r="F37" s="16">
        <f>IF(ISERROR(VLOOKUP($D37,'START LİSTE'!$B$6:$F$836,4,0)),"",VLOOKUP($D37,'START LİSTE'!$B$6:$F$836,4,0))</f>
      </c>
      <c r="G37" s="113">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41"/>
      <c r="L37" s="141"/>
      <c r="M37" s="141"/>
      <c r="N37" s="105"/>
      <c r="O37" s="19"/>
      <c r="BF37" s="2">
        <v>1045</v>
      </c>
    </row>
    <row r="38" spans="2:58" ht="15" customHeight="1">
      <c r="B38" s="6"/>
      <c r="C38" s="7"/>
      <c r="D38" s="115">
        <v>462</v>
      </c>
      <c r="E38" s="8" t="str">
        <f>IF(ISERROR(VLOOKUP($D38,'START LİSTE'!$B$6:$F$836,2,0)),"",VLOOKUP($D38,'START LİSTE'!$B$6:$F$836,2,0))</f>
        <v>OĞUZHAN OLKUN</v>
      </c>
      <c r="F38" s="9" t="str">
        <f>IF(ISERROR(VLOOKUP($D38,'START LİSTE'!$B$6:$F$836,4,0)),"",VLOOKUP($D38,'START LİSTE'!$B$6:$F$836,4,0))</f>
        <v>T</v>
      </c>
      <c r="G38" s="112">
        <f>IF(ISERROR(VLOOKUP($D38,'FERDİ SONUÇ'!$B$6:$H$962,6,0)),"",VLOOKUP($D38,'FERDİ SONUÇ'!$B$6:$H$962,6,0))</f>
        <v>957</v>
      </c>
      <c r="H38" s="9">
        <f>IF(OR(F38="",G38="DQ",G38="DNF",G38="DNS",G38=""),"-",VLOOKUP(D38,'FERDİ SONUÇ'!$B$6:$H$962,7,0))</f>
        <v>9</v>
      </c>
      <c r="I38" s="9">
        <f>IF(OR(F38="",F38="F",G38="DQ",G38="DNF",G38="DNS",G38=""),"-",VLOOKUP(D38,'FERDİ SONUÇ'!$B$6:$H$962,7,0))</f>
        <v>9</v>
      </c>
      <c r="J38" s="11">
        <f>IF(ISERROR(SMALL(I38:I41,1)),"-",SMALL(I38:I41,1))</f>
        <v>9</v>
      </c>
      <c r="K38" s="140"/>
      <c r="L38" s="140"/>
      <c r="M38" s="140"/>
      <c r="N38" s="104"/>
      <c r="O38" s="12"/>
      <c r="BF38" s="2">
        <v>1048</v>
      </c>
    </row>
    <row r="39" spans="2:58" ht="15" customHeight="1">
      <c r="B39" s="13"/>
      <c r="C39" s="14"/>
      <c r="D39" s="116">
        <v>463</v>
      </c>
      <c r="E39" s="15" t="str">
        <f>IF(ISERROR(VLOOKUP($D39,'START LİSTE'!$B$6:$F$836,2,0)),"",VLOOKUP($D39,'START LİSTE'!$B$6:$F$836,2,0))</f>
        <v>YUSUF PEKTAŞ</v>
      </c>
      <c r="F39" s="16" t="str">
        <f>IF(ISERROR(VLOOKUP($D39,'START LİSTE'!$B$6:$F$836,4,0)),"",VLOOKUP($D39,'START LİSTE'!$B$6:$F$836,4,0))</f>
        <v>T</v>
      </c>
      <c r="G39" s="113">
        <f>IF(ISERROR(VLOOKUP($D39,'FERDİ SONUÇ'!$B$6:$H$962,6,0)),"",VLOOKUP($D39,'FERDİ SONUÇ'!$B$6:$H$962,6,0))</f>
        <v>0</v>
      </c>
      <c r="H39" s="16">
        <f>IF(OR(F39="",G39="DQ",G39="DNF",G39="DNS",G39=""),"-",VLOOKUP(D39,'FERDİ SONUÇ'!$B$6:$H$962,7,0))</f>
        <v>21</v>
      </c>
      <c r="I39" s="16">
        <f>IF(OR(F39="",F39="F",G39="DQ",G39="DNF",G39="DNS",G39=""),"-",VLOOKUP(D39,'FERDİ SONUÇ'!$B$6:$H$962,7,0))</f>
        <v>21</v>
      </c>
      <c r="J39" s="18">
        <f>IF(ISERROR(SMALL(I38:I41,2)),"-",SMALL(I38:I41,2))</f>
        <v>21</v>
      </c>
      <c r="K39" s="141"/>
      <c r="L39" s="141"/>
      <c r="M39" s="141"/>
      <c r="N39" s="105"/>
      <c r="O39" s="19"/>
      <c r="BF39" s="2">
        <v>1049</v>
      </c>
    </row>
    <row r="40" spans="1:58" ht="15" customHeight="1">
      <c r="A40" s="108">
        <f>IF(AND(C40&lt;&gt;"",O40&lt;&gt;"DQ"),COUNT(O$6:O$1247)-(RANK(O40,O$6:O$1247)+COUNTIF(O$6:O40,O40))+2,IF(D38&lt;&gt;"",BF40,""))</f>
        <v>1</v>
      </c>
      <c r="B40" s="108">
        <f>IF(AND(C40&lt;&gt;"",N40&lt;&gt;"DQ"),COUNT(N$6:N$1247)-(RANK(N40,N$6:N$1247)+COUNTIF(N$6:N40,N40))+2,IF(D38&lt;&gt;"",BF40,""))</f>
        <v>5</v>
      </c>
      <c r="C40" s="14" t="str">
        <f>IF(ISERROR(VLOOKUP(D38,'START LİSTE'!$B$6:$F$836,3,0)),"",VLOOKUP(D38,'START LİSTE'!$B$6:$F$836,3,0))</f>
        <v>ESKİŞEHİR BÜYÜKŞEHİR G.S.K</v>
      </c>
      <c r="D40" s="116">
        <v>464</v>
      </c>
      <c r="E40" s="15" t="str">
        <f>IF(ISERROR(VLOOKUP($D40,'START LİSTE'!$B$6:$F$836,2,0)),"",VLOOKUP($D40,'START LİSTE'!$B$6:$F$836,2,0))</f>
        <v>HÜSEYİN KARACA</v>
      </c>
      <c r="F40" s="16" t="str">
        <f>IF(ISERROR(VLOOKUP($D40,'START LİSTE'!$B$6:$F$836,4,0)),"",VLOOKUP($D40,'START LİSTE'!$B$6:$F$836,4,0))</f>
        <v>T</v>
      </c>
      <c r="G40" s="113">
        <f>IF(ISERROR(VLOOKUP($D40,'FERDİ SONUÇ'!$B$6:$H$962,6,0)),"",VLOOKUP($D40,'FERDİ SONUÇ'!$B$6:$H$962,6,0))</f>
        <v>0</v>
      </c>
      <c r="H40" s="16">
        <f>IF(OR(F40="",G40="DQ",G40="DNF",G40="DNS",G40=""),"-",VLOOKUP(D40,'FERDİ SONUÇ'!$B$6:$H$962,7,0))</f>
        <v>22</v>
      </c>
      <c r="I40" s="16">
        <f>IF(OR(F40="",F40="F",G40="DQ",G40="DNF",G40="DNS",G40=""),"-",VLOOKUP(D40,'FERDİ SONUÇ'!$B$6:$H$962,7,0))</f>
        <v>22</v>
      </c>
      <c r="J40" s="18">
        <f>IF(ISERROR(SMALL(I38:I41,3)),"-",SMALL(I38:I41,3))</f>
        <v>22</v>
      </c>
      <c r="K40" s="141"/>
      <c r="L40" s="141"/>
      <c r="M40" s="141"/>
      <c r="N40" s="117">
        <f>_xlfn.IFERROR(IF(C40="","",IF(OR(J38="-",J39="-",J40="-"),"DQ",SUM(J38,J39,J40)))+(J40*0.0001),"DQ")</f>
        <v>52.0022</v>
      </c>
      <c r="O40" s="117">
        <f>IF(C40="","",IF(OR(K40="DQ",L40="DQ",M40="DQ"),"DQ",SUM(K40,L40,M40)))</f>
        <v>0</v>
      </c>
      <c r="BF40" s="2">
        <v>1050</v>
      </c>
    </row>
    <row r="41" spans="2:58" ht="15" customHeight="1">
      <c r="B41" s="13"/>
      <c r="C41" s="14"/>
      <c r="D41" s="116"/>
      <c r="E41" s="15">
        <f>IF(ISERROR(VLOOKUP($D41,'START LİSTE'!$B$6:$F$836,2,0)),"",VLOOKUP($D41,'START LİSTE'!$B$6:$F$836,2,0))</f>
      </c>
      <c r="F41" s="16">
        <f>IF(ISERROR(VLOOKUP($D41,'START LİSTE'!$B$6:$F$836,4,0)),"",VLOOKUP($D41,'START LİSTE'!$B$6:$F$836,4,0))</f>
      </c>
      <c r="G41" s="113">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43" dxfId="652"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33" dxfId="653"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60"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26" dxfId="1" stopIfTrue="1">
      <formula>AND(COUNTIF($N$8:$N$8,N8)&gt;1,NOT(ISBLANK(N8)))</formula>
    </cfRule>
  </conditionalFormatting>
  <conditionalFormatting sqref="N8">
    <cfRule type="duplicateValues" priority="524" dxfId="652">
      <formula>AND(COUNTIF($N$8:$N$8,N8)&gt;1,NOT(ISBLANK(N8)))</formula>
    </cfRule>
    <cfRule type="duplicateValues" priority="525" dxfId="1" stopIfTrue="1">
      <formula>AND(COUNTIF($N$8:$N$8,N8)&gt;1,NOT(ISBLANK(N8)))</formula>
    </cfRule>
  </conditionalFormatting>
  <conditionalFormatting sqref="N8">
    <cfRule type="duplicateValues" priority="523" dxfId="1" stopIfTrue="1">
      <formula>AND(COUNTIF($N$8:$N$8,N8)&gt;1,NOT(ISBLANK(N8)))</formula>
    </cfRule>
  </conditionalFormatting>
  <conditionalFormatting sqref="N8">
    <cfRule type="duplicateValues" priority="522" dxfId="1" stopIfTrue="1">
      <formula>AND(COUNTIF($N$8:$N$8,N8)&gt;1,NOT(ISBLANK(N8)))</formula>
    </cfRule>
  </conditionalFormatting>
  <conditionalFormatting sqref="N8">
    <cfRule type="duplicateValues" priority="521" dxfId="1" stopIfTrue="1">
      <formula>AND(COUNTIF($N$8:$N$8,N8)&gt;1,NOT(ISBLANK(N8)))</formula>
    </cfRule>
  </conditionalFormatting>
  <conditionalFormatting sqref="N8">
    <cfRule type="duplicateValues" priority="520" dxfId="1" stopIfTrue="1">
      <formula>AND(COUNTIF($N$8:$N$8,N8)&gt;1,NOT(ISBLANK(N8)))</formula>
    </cfRule>
  </conditionalFormatting>
  <conditionalFormatting sqref="N8">
    <cfRule type="duplicateValues" priority="519" dxfId="1" stopIfTrue="1">
      <formula>AND(COUNTIF($N$8:$N$8,N8)&gt;1,NOT(ISBLANK(N8)))</formula>
    </cfRule>
  </conditionalFormatting>
  <conditionalFormatting sqref="N8">
    <cfRule type="duplicateValues" priority="518" dxfId="1" stopIfTrue="1">
      <formula>AND(COUNTIF($N$8:$N$8,N8)&gt;1,NOT(ISBLANK(N8)))</formula>
    </cfRule>
  </conditionalFormatting>
  <conditionalFormatting sqref="N8">
    <cfRule type="duplicateValues" priority="517" dxfId="652" stopIfTrue="1">
      <formula>AND(COUNTIF($N$8:$N$8,N8)&gt;1,NOT(ISBLANK(N8)))</formula>
    </cfRule>
  </conditionalFormatting>
  <conditionalFormatting sqref="N8">
    <cfRule type="duplicateValues" priority="515" dxfId="652">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2" stopIfTrue="1">
      <formula>AND(COUNTIF($N$8:$N$8,N8)&gt;1,NOT(ISBLANK(N8)))</formula>
    </cfRule>
  </conditionalFormatting>
  <conditionalFormatting sqref="N12">
    <cfRule type="duplicateValues" priority="507" dxfId="1" stopIfTrue="1">
      <formula>AND(COUNTIF($N$12:$N$12,N12)&gt;1,NOT(ISBLANK(N12)))</formula>
    </cfRule>
  </conditionalFormatting>
  <conditionalFormatting sqref="N12">
    <cfRule type="duplicateValues" priority="505" dxfId="652">
      <formula>AND(COUNTIF($N$12:$N$12,N12)&gt;1,NOT(ISBLANK(N12)))</formula>
    </cfRule>
    <cfRule type="duplicateValues" priority="506" dxfId="1" stopIfTrue="1">
      <formula>AND(COUNTIF($N$12:$N$12,N12)&gt;1,NOT(ISBLANK(N12)))</formula>
    </cfRule>
  </conditionalFormatting>
  <conditionalFormatting sqref="N12">
    <cfRule type="duplicateValues" priority="504" dxfId="1" stopIfTrue="1">
      <formula>AND(COUNTIF($N$12:$N$12,N12)&gt;1,NOT(ISBLANK(N12)))</formula>
    </cfRule>
  </conditionalFormatting>
  <conditionalFormatting sqref="N12">
    <cfRule type="duplicateValues" priority="503" dxfId="1" stopIfTrue="1">
      <formula>AND(COUNTIF($N$12:$N$12,N12)&gt;1,NOT(ISBLANK(N12)))</formula>
    </cfRule>
  </conditionalFormatting>
  <conditionalFormatting sqref="N12">
    <cfRule type="duplicateValues" priority="502" dxfId="1" stopIfTrue="1">
      <formula>AND(COUNTIF($N$12:$N$12,N12)&gt;1,NOT(ISBLANK(N12)))</formula>
    </cfRule>
  </conditionalFormatting>
  <conditionalFormatting sqref="N12">
    <cfRule type="duplicateValues" priority="501" dxfId="1" stopIfTrue="1">
      <formula>AND(COUNTIF($N$12:$N$12,N12)&gt;1,NOT(ISBLANK(N12)))</formula>
    </cfRule>
  </conditionalFormatting>
  <conditionalFormatting sqref="N12">
    <cfRule type="duplicateValues" priority="500" dxfId="1" stopIfTrue="1">
      <formula>AND(COUNTIF($N$12:$N$12,N12)&gt;1,NOT(ISBLANK(N12)))</formula>
    </cfRule>
  </conditionalFormatting>
  <conditionalFormatting sqref="N12">
    <cfRule type="duplicateValues" priority="499" dxfId="1" stopIfTrue="1">
      <formula>AND(COUNTIF($N$12:$N$12,N12)&gt;1,NOT(ISBLANK(N12)))</formula>
    </cfRule>
  </conditionalFormatting>
  <conditionalFormatting sqref="N12">
    <cfRule type="duplicateValues" priority="498" dxfId="652" stopIfTrue="1">
      <formula>AND(COUNTIF($N$12:$N$12,N12)&gt;1,NOT(ISBLANK(N12)))</formula>
    </cfRule>
  </conditionalFormatting>
  <conditionalFormatting sqref="N12">
    <cfRule type="duplicateValues" priority="496" dxfId="652">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2" stopIfTrue="1">
      <formula>AND(COUNTIF($N$12:$N$12,N12)&gt;1,NOT(ISBLANK(N12)))</formula>
    </cfRule>
  </conditionalFormatting>
  <conditionalFormatting sqref="N16">
    <cfRule type="duplicateValues" priority="488" dxfId="1" stopIfTrue="1">
      <formula>AND(COUNTIF($N$16:$N$16,N16)&gt;1,NOT(ISBLANK(N16)))</formula>
    </cfRule>
  </conditionalFormatting>
  <conditionalFormatting sqref="N16">
    <cfRule type="duplicateValues" priority="486" dxfId="652">
      <formula>AND(COUNTIF($N$16:$N$16,N16)&gt;1,NOT(ISBLANK(N16)))</formula>
    </cfRule>
    <cfRule type="duplicateValues" priority="487" dxfId="1" stopIfTrue="1">
      <formula>AND(COUNTIF($N$16:$N$16,N16)&gt;1,NOT(ISBLANK(N16)))</formula>
    </cfRule>
  </conditionalFormatting>
  <conditionalFormatting sqref="N16">
    <cfRule type="duplicateValues" priority="485" dxfId="1" stopIfTrue="1">
      <formula>AND(COUNTIF($N$16:$N$16,N16)&gt;1,NOT(ISBLANK(N16)))</formula>
    </cfRule>
  </conditionalFormatting>
  <conditionalFormatting sqref="N16">
    <cfRule type="duplicateValues" priority="484" dxfId="1" stopIfTrue="1">
      <formula>AND(COUNTIF($N$16:$N$16,N16)&gt;1,NOT(ISBLANK(N16)))</formula>
    </cfRule>
  </conditionalFormatting>
  <conditionalFormatting sqref="N16">
    <cfRule type="duplicateValues" priority="483" dxfId="1" stopIfTrue="1">
      <formula>AND(COUNTIF($N$16:$N$16,N16)&gt;1,NOT(ISBLANK(N16)))</formula>
    </cfRule>
  </conditionalFormatting>
  <conditionalFormatting sqref="N16">
    <cfRule type="duplicateValues" priority="482" dxfId="1" stopIfTrue="1">
      <formula>AND(COUNTIF($N$16:$N$16,N16)&gt;1,NOT(ISBLANK(N16)))</formula>
    </cfRule>
  </conditionalFormatting>
  <conditionalFormatting sqref="N16">
    <cfRule type="duplicateValues" priority="481" dxfId="1" stopIfTrue="1">
      <formula>AND(COUNTIF($N$16:$N$16,N16)&gt;1,NOT(ISBLANK(N16)))</formula>
    </cfRule>
  </conditionalFormatting>
  <conditionalFormatting sqref="N16">
    <cfRule type="duplicateValues" priority="480" dxfId="1" stopIfTrue="1">
      <formula>AND(COUNTIF($N$16:$N$16,N16)&gt;1,NOT(ISBLANK(N16)))</formula>
    </cfRule>
  </conditionalFormatting>
  <conditionalFormatting sqref="N16">
    <cfRule type="duplicateValues" priority="479" dxfId="652" stopIfTrue="1">
      <formula>AND(COUNTIF($N$16:$N$16,N16)&gt;1,NOT(ISBLANK(N16)))</formula>
    </cfRule>
  </conditionalFormatting>
  <conditionalFormatting sqref="N16">
    <cfRule type="duplicateValues" priority="477" dxfId="652">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2" stopIfTrue="1">
      <formula>AND(COUNTIF($N$16:$N$16,N16)&gt;1,NOT(ISBLANK(N16)))</formula>
    </cfRule>
  </conditionalFormatting>
  <conditionalFormatting sqref="N20">
    <cfRule type="duplicateValues" priority="469" dxfId="1" stopIfTrue="1">
      <formula>AND(COUNTIF($N$20:$N$20,N20)&gt;1,NOT(ISBLANK(N20)))</formula>
    </cfRule>
  </conditionalFormatting>
  <conditionalFormatting sqref="N20">
    <cfRule type="duplicateValues" priority="467" dxfId="652">
      <formula>AND(COUNTIF($N$20:$N$20,N20)&gt;1,NOT(ISBLANK(N20)))</formula>
    </cfRule>
    <cfRule type="duplicateValues" priority="468" dxfId="1" stopIfTrue="1">
      <formula>AND(COUNTIF($N$20:$N$20,N20)&gt;1,NOT(ISBLANK(N20)))</formula>
    </cfRule>
  </conditionalFormatting>
  <conditionalFormatting sqref="N20">
    <cfRule type="duplicateValues" priority="466" dxfId="1" stopIfTrue="1">
      <formula>AND(COUNTIF($N$20:$N$20,N20)&gt;1,NOT(ISBLANK(N20)))</formula>
    </cfRule>
  </conditionalFormatting>
  <conditionalFormatting sqref="N20">
    <cfRule type="duplicateValues" priority="465" dxfId="1" stopIfTrue="1">
      <formula>AND(COUNTIF($N$20:$N$20,N20)&gt;1,NOT(ISBLANK(N20)))</formula>
    </cfRule>
  </conditionalFormatting>
  <conditionalFormatting sqref="N20">
    <cfRule type="duplicateValues" priority="464" dxfId="1" stopIfTrue="1">
      <formula>AND(COUNTIF($N$20:$N$20,N20)&gt;1,NOT(ISBLANK(N20)))</formula>
    </cfRule>
  </conditionalFormatting>
  <conditionalFormatting sqref="N20">
    <cfRule type="duplicateValues" priority="463" dxfId="1" stopIfTrue="1">
      <formula>AND(COUNTIF($N$20:$N$20,N20)&gt;1,NOT(ISBLANK(N20)))</formula>
    </cfRule>
  </conditionalFormatting>
  <conditionalFormatting sqref="N20">
    <cfRule type="duplicateValues" priority="462" dxfId="1" stopIfTrue="1">
      <formula>AND(COUNTIF($N$20:$N$20,N20)&gt;1,NOT(ISBLANK(N20)))</formula>
    </cfRule>
  </conditionalFormatting>
  <conditionalFormatting sqref="N20">
    <cfRule type="duplicateValues" priority="461" dxfId="1" stopIfTrue="1">
      <formula>AND(COUNTIF($N$20:$N$20,N20)&gt;1,NOT(ISBLANK(N20)))</formula>
    </cfRule>
  </conditionalFormatting>
  <conditionalFormatting sqref="N20">
    <cfRule type="duplicateValues" priority="460" dxfId="652" stopIfTrue="1">
      <formula>AND(COUNTIF($N$20:$N$20,N20)&gt;1,NOT(ISBLANK(N20)))</formula>
    </cfRule>
  </conditionalFormatting>
  <conditionalFormatting sqref="N20">
    <cfRule type="duplicateValues" priority="458" dxfId="652">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2" stopIfTrue="1">
      <formula>AND(COUNTIF($N$20:$N$20,N20)&gt;1,NOT(ISBLANK(N20)))</formula>
    </cfRule>
  </conditionalFormatting>
  <conditionalFormatting sqref="N24">
    <cfRule type="duplicateValues" priority="450" dxfId="1" stopIfTrue="1">
      <formula>AND(COUNTIF($N$24:$N$24,N24)&gt;1,NOT(ISBLANK(N24)))</formula>
    </cfRule>
  </conditionalFormatting>
  <conditionalFormatting sqref="N24">
    <cfRule type="duplicateValues" priority="448" dxfId="652">
      <formula>AND(COUNTIF($N$24:$N$24,N24)&gt;1,NOT(ISBLANK(N24)))</formula>
    </cfRule>
    <cfRule type="duplicateValues" priority="449" dxfId="1" stopIfTrue="1">
      <formula>AND(COUNTIF($N$24:$N$24,N24)&gt;1,NOT(ISBLANK(N24)))</formula>
    </cfRule>
  </conditionalFormatting>
  <conditionalFormatting sqref="N24">
    <cfRule type="duplicateValues" priority="447" dxfId="1" stopIfTrue="1">
      <formula>AND(COUNTIF($N$24:$N$24,N24)&gt;1,NOT(ISBLANK(N24)))</formula>
    </cfRule>
  </conditionalFormatting>
  <conditionalFormatting sqref="N24">
    <cfRule type="duplicateValues" priority="446" dxfId="1" stopIfTrue="1">
      <formula>AND(COUNTIF($N$24:$N$24,N24)&gt;1,NOT(ISBLANK(N24)))</formula>
    </cfRule>
  </conditionalFormatting>
  <conditionalFormatting sqref="N24">
    <cfRule type="duplicateValues" priority="445" dxfId="1" stopIfTrue="1">
      <formula>AND(COUNTIF($N$24:$N$24,N24)&gt;1,NOT(ISBLANK(N24)))</formula>
    </cfRule>
  </conditionalFormatting>
  <conditionalFormatting sqref="N24">
    <cfRule type="duplicateValues" priority="444" dxfId="1" stopIfTrue="1">
      <formula>AND(COUNTIF($N$24:$N$24,N24)&gt;1,NOT(ISBLANK(N24)))</formula>
    </cfRule>
  </conditionalFormatting>
  <conditionalFormatting sqref="N24">
    <cfRule type="duplicateValues" priority="443" dxfId="1" stopIfTrue="1">
      <formula>AND(COUNTIF($N$24:$N$24,N24)&gt;1,NOT(ISBLANK(N24)))</formula>
    </cfRule>
  </conditionalFormatting>
  <conditionalFormatting sqref="N24">
    <cfRule type="duplicateValues" priority="442" dxfId="1" stopIfTrue="1">
      <formula>AND(COUNTIF($N$24:$N$24,N24)&gt;1,NOT(ISBLANK(N24)))</formula>
    </cfRule>
  </conditionalFormatting>
  <conditionalFormatting sqref="N24">
    <cfRule type="duplicateValues" priority="441" dxfId="652" stopIfTrue="1">
      <formula>AND(COUNTIF($N$24:$N$24,N24)&gt;1,NOT(ISBLANK(N24)))</formula>
    </cfRule>
  </conditionalFormatting>
  <conditionalFormatting sqref="N24">
    <cfRule type="duplicateValues" priority="439" dxfId="652">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2" stopIfTrue="1">
      <formula>AND(COUNTIF($N$24:$N$24,N24)&gt;1,NOT(ISBLANK(N24)))</formula>
    </cfRule>
  </conditionalFormatting>
  <conditionalFormatting sqref="N28">
    <cfRule type="duplicateValues" priority="431" dxfId="1" stopIfTrue="1">
      <formula>AND(COUNTIF($N$28:$N$28,N28)&gt;1,NOT(ISBLANK(N28)))</formula>
    </cfRule>
  </conditionalFormatting>
  <conditionalFormatting sqref="N28">
    <cfRule type="duplicateValues" priority="429" dxfId="652">
      <formula>AND(COUNTIF($N$28:$N$28,N28)&gt;1,NOT(ISBLANK(N28)))</formula>
    </cfRule>
    <cfRule type="duplicateValues" priority="430" dxfId="1" stopIfTrue="1">
      <formula>AND(COUNTIF($N$28:$N$28,N28)&gt;1,NOT(ISBLANK(N28)))</formula>
    </cfRule>
  </conditionalFormatting>
  <conditionalFormatting sqref="N28">
    <cfRule type="duplicateValues" priority="428" dxfId="1" stopIfTrue="1">
      <formula>AND(COUNTIF($N$28:$N$28,N28)&gt;1,NOT(ISBLANK(N28)))</formula>
    </cfRule>
  </conditionalFormatting>
  <conditionalFormatting sqref="N28">
    <cfRule type="duplicateValues" priority="427" dxfId="1" stopIfTrue="1">
      <formula>AND(COUNTIF($N$28:$N$28,N28)&gt;1,NOT(ISBLANK(N28)))</formula>
    </cfRule>
  </conditionalFormatting>
  <conditionalFormatting sqref="N28">
    <cfRule type="duplicateValues" priority="426" dxfId="1" stopIfTrue="1">
      <formula>AND(COUNTIF($N$28:$N$28,N28)&gt;1,NOT(ISBLANK(N28)))</formula>
    </cfRule>
  </conditionalFormatting>
  <conditionalFormatting sqref="N28">
    <cfRule type="duplicateValues" priority="425" dxfId="1" stopIfTrue="1">
      <formula>AND(COUNTIF($N$28:$N$28,N28)&gt;1,NOT(ISBLANK(N28)))</formula>
    </cfRule>
  </conditionalFormatting>
  <conditionalFormatting sqref="N28">
    <cfRule type="duplicateValues" priority="424" dxfId="1" stopIfTrue="1">
      <formula>AND(COUNTIF($N$28:$N$28,N28)&gt;1,NOT(ISBLANK(N28)))</formula>
    </cfRule>
  </conditionalFormatting>
  <conditionalFormatting sqref="N28">
    <cfRule type="duplicateValues" priority="423" dxfId="1" stopIfTrue="1">
      <formula>AND(COUNTIF($N$28:$N$28,N28)&gt;1,NOT(ISBLANK(N28)))</formula>
    </cfRule>
  </conditionalFormatting>
  <conditionalFormatting sqref="N28">
    <cfRule type="duplicateValues" priority="422" dxfId="652" stopIfTrue="1">
      <formula>AND(COUNTIF($N$28:$N$28,N28)&gt;1,NOT(ISBLANK(N28)))</formula>
    </cfRule>
  </conditionalFormatting>
  <conditionalFormatting sqref="N28">
    <cfRule type="duplicateValues" priority="420" dxfId="652">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2" stopIfTrue="1">
      <formula>AND(COUNTIF($N$28:$N$28,N28)&gt;1,NOT(ISBLANK(N28)))</formula>
    </cfRule>
  </conditionalFormatting>
  <conditionalFormatting sqref="N32">
    <cfRule type="duplicateValues" priority="412" dxfId="1" stopIfTrue="1">
      <formula>AND(COUNTIF($N$32:$N$32,N32)&gt;1,NOT(ISBLANK(N32)))</formula>
    </cfRule>
  </conditionalFormatting>
  <conditionalFormatting sqref="N32">
    <cfRule type="duplicateValues" priority="410" dxfId="652">
      <formula>AND(COUNTIF($N$32:$N$32,N32)&gt;1,NOT(ISBLANK(N32)))</formula>
    </cfRule>
    <cfRule type="duplicateValues" priority="411" dxfId="1" stopIfTrue="1">
      <formula>AND(COUNTIF($N$32:$N$32,N32)&gt;1,NOT(ISBLANK(N32)))</formula>
    </cfRule>
  </conditionalFormatting>
  <conditionalFormatting sqref="N32">
    <cfRule type="duplicateValues" priority="409" dxfId="1" stopIfTrue="1">
      <formula>AND(COUNTIF($N$32:$N$32,N32)&gt;1,NOT(ISBLANK(N32)))</formula>
    </cfRule>
  </conditionalFormatting>
  <conditionalFormatting sqref="N32">
    <cfRule type="duplicateValues" priority="408" dxfId="1" stopIfTrue="1">
      <formula>AND(COUNTIF($N$32:$N$32,N32)&gt;1,NOT(ISBLANK(N32)))</formula>
    </cfRule>
  </conditionalFormatting>
  <conditionalFormatting sqref="N32">
    <cfRule type="duplicateValues" priority="407" dxfId="1" stopIfTrue="1">
      <formula>AND(COUNTIF($N$32:$N$32,N32)&gt;1,NOT(ISBLANK(N32)))</formula>
    </cfRule>
  </conditionalFormatting>
  <conditionalFormatting sqref="N32">
    <cfRule type="duplicateValues" priority="406" dxfId="1" stopIfTrue="1">
      <formula>AND(COUNTIF($N$32:$N$32,N32)&gt;1,NOT(ISBLANK(N32)))</formula>
    </cfRule>
  </conditionalFormatting>
  <conditionalFormatting sqref="N32">
    <cfRule type="duplicateValues" priority="405" dxfId="1" stopIfTrue="1">
      <formula>AND(COUNTIF($N$32:$N$32,N32)&gt;1,NOT(ISBLANK(N32)))</formula>
    </cfRule>
  </conditionalFormatting>
  <conditionalFormatting sqref="N32">
    <cfRule type="duplicateValues" priority="404" dxfId="1" stopIfTrue="1">
      <formula>AND(COUNTIF($N$32:$N$32,N32)&gt;1,NOT(ISBLANK(N32)))</formula>
    </cfRule>
  </conditionalFormatting>
  <conditionalFormatting sqref="N32">
    <cfRule type="duplicateValues" priority="403" dxfId="652" stopIfTrue="1">
      <formula>AND(COUNTIF($N$32:$N$32,N32)&gt;1,NOT(ISBLANK(N32)))</formula>
    </cfRule>
  </conditionalFormatting>
  <conditionalFormatting sqref="N32">
    <cfRule type="duplicateValues" priority="401" dxfId="652">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2" stopIfTrue="1">
      <formula>AND(COUNTIF($N$32:$N$32,N32)&gt;1,NOT(ISBLANK(N32)))</formula>
    </cfRule>
  </conditionalFormatting>
  <conditionalFormatting sqref="N36">
    <cfRule type="duplicateValues" priority="393" dxfId="1" stopIfTrue="1">
      <formula>AND(COUNTIF($N$36:$N$36,N36)&gt;1,NOT(ISBLANK(N36)))</formula>
    </cfRule>
  </conditionalFormatting>
  <conditionalFormatting sqref="N36">
    <cfRule type="duplicateValues" priority="391" dxfId="652">
      <formula>AND(COUNTIF($N$36:$N$36,N36)&gt;1,NOT(ISBLANK(N36)))</formula>
    </cfRule>
    <cfRule type="duplicateValues" priority="392" dxfId="1" stopIfTrue="1">
      <formula>AND(COUNTIF($N$36:$N$36,N36)&gt;1,NOT(ISBLANK(N36)))</formula>
    </cfRule>
  </conditionalFormatting>
  <conditionalFormatting sqref="N36">
    <cfRule type="duplicateValues" priority="390" dxfId="1" stopIfTrue="1">
      <formula>AND(COUNTIF($N$36:$N$36,N36)&gt;1,NOT(ISBLANK(N36)))</formula>
    </cfRule>
  </conditionalFormatting>
  <conditionalFormatting sqref="N36">
    <cfRule type="duplicateValues" priority="389" dxfId="1" stopIfTrue="1">
      <formula>AND(COUNTIF($N$36:$N$36,N36)&gt;1,NOT(ISBLANK(N36)))</formula>
    </cfRule>
  </conditionalFormatting>
  <conditionalFormatting sqref="N36">
    <cfRule type="duplicateValues" priority="388" dxfId="1" stopIfTrue="1">
      <formula>AND(COUNTIF($N$36:$N$36,N36)&gt;1,NOT(ISBLANK(N36)))</formula>
    </cfRule>
  </conditionalFormatting>
  <conditionalFormatting sqref="N36">
    <cfRule type="duplicateValues" priority="387" dxfId="1" stopIfTrue="1">
      <formula>AND(COUNTIF($N$36:$N$36,N36)&gt;1,NOT(ISBLANK(N36)))</formula>
    </cfRule>
  </conditionalFormatting>
  <conditionalFormatting sqref="N36">
    <cfRule type="duplicateValues" priority="386" dxfId="1" stopIfTrue="1">
      <formula>AND(COUNTIF($N$36:$N$36,N36)&gt;1,NOT(ISBLANK(N36)))</formula>
    </cfRule>
  </conditionalFormatting>
  <conditionalFormatting sqref="N36">
    <cfRule type="duplicateValues" priority="385" dxfId="1" stopIfTrue="1">
      <formula>AND(COUNTIF($N$36:$N$36,N36)&gt;1,NOT(ISBLANK(N36)))</formula>
    </cfRule>
  </conditionalFormatting>
  <conditionalFormatting sqref="N36">
    <cfRule type="duplicateValues" priority="384" dxfId="652" stopIfTrue="1">
      <formula>AND(COUNTIF($N$36:$N$36,N36)&gt;1,NOT(ISBLANK(N36)))</formula>
    </cfRule>
  </conditionalFormatting>
  <conditionalFormatting sqref="N36">
    <cfRule type="duplicateValues" priority="382" dxfId="652">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2" stopIfTrue="1">
      <formula>AND(COUNTIF($N$36:$N$36,N36)&gt;1,NOT(ISBLANK(N36)))</formula>
    </cfRule>
  </conditionalFormatting>
  <conditionalFormatting sqref="N40">
    <cfRule type="duplicateValues" priority="374" dxfId="1" stopIfTrue="1">
      <formula>AND(COUNTIF($N$40:$N$40,N40)&gt;1,NOT(ISBLANK(N40)))</formula>
    </cfRule>
  </conditionalFormatting>
  <conditionalFormatting sqref="N40">
    <cfRule type="duplicateValues" priority="372" dxfId="652">
      <formula>AND(COUNTIF($N$40:$N$40,N40)&gt;1,NOT(ISBLANK(N40)))</formula>
    </cfRule>
    <cfRule type="duplicateValues" priority="373" dxfId="1" stopIfTrue="1">
      <formula>AND(COUNTIF($N$40:$N$40,N40)&gt;1,NOT(ISBLANK(N40)))</formula>
    </cfRule>
  </conditionalFormatting>
  <conditionalFormatting sqref="N40">
    <cfRule type="duplicateValues" priority="371" dxfId="1" stopIfTrue="1">
      <formula>AND(COUNTIF($N$40:$N$40,N40)&gt;1,NOT(ISBLANK(N40)))</formula>
    </cfRule>
  </conditionalFormatting>
  <conditionalFormatting sqref="N40">
    <cfRule type="duplicateValues" priority="370" dxfId="1" stopIfTrue="1">
      <formula>AND(COUNTIF($N$40:$N$40,N40)&gt;1,NOT(ISBLANK(N40)))</formula>
    </cfRule>
  </conditionalFormatting>
  <conditionalFormatting sqref="N40">
    <cfRule type="duplicateValues" priority="369" dxfId="1" stopIfTrue="1">
      <formula>AND(COUNTIF($N$40:$N$40,N40)&gt;1,NOT(ISBLANK(N40)))</formula>
    </cfRule>
  </conditionalFormatting>
  <conditionalFormatting sqref="N40">
    <cfRule type="duplicateValues" priority="368" dxfId="1" stopIfTrue="1">
      <formula>AND(COUNTIF($N$40:$N$40,N40)&gt;1,NOT(ISBLANK(N40)))</formula>
    </cfRule>
  </conditionalFormatting>
  <conditionalFormatting sqref="N40">
    <cfRule type="duplicateValues" priority="367" dxfId="1" stopIfTrue="1">
      <formula>AND(COUNTIF($N$40:$N$40,N40)&gt;1,NOT(ISBLANK(N40)))</formula>
    </cfRule>
  </conditionalFormatting>
  <conditionalFormatting sqref="N40">
    <cfRule type="duplicateValues" priority="366" dxfId="1" stopIfTrue="1">
      <formula>AND(COUNTIF($N$40:$N$40,N40)&gt;1,NOT(ISBLANK(N40)))</formula>
    </cfRule>
  </conditionalFormatting>
  <conditionalFormatting sqref="N40">
    <cfRule type="duplicateValues" priority="365" dxfId="652" stopIfTrue="1">
      <formula>AND(COUNTIF($N$40:$N$40,N40)&gt;1,NOT(ISBLANK(N40)))</formula>
    </cfRule>
  </conditionalFormatting>
  <conditionalFormatting sqref="N40">
    <cfRule type="duplicateValues" priority="363" dxfId="652">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2" stopIfTrue="1">
      <formula>AND(COUNTIF($N$40:$N$40,N40)&gt;1,NOT(ISBLANK(N40)))</formula>
    </cfRule>
  </conditionalFormatting>
  <conditionalFormatting sqref="N44">
    <cfRule type="duplicateValues" priority="355" dxfId="1" stopIfTrue="1">
      <formula>AND(COUNTIF($N$44:$N$44,N44)&gt;1,NOT(ISBLANK(N44)))</formula>
    </cfRule>
  </conditionalFormatting>
  <conditionalFormatting sqref="N44">
    <cfRule type="duplicateValues" priority="353" dxfId="652">
      <formula>AND(COUNTIF($N$44:$N$44,N44)&gt;1,NOT(ISBLANK(N44)))</formula>
    </cfRule>
    <cfRule type="duplicateValues" priority="354" dxfId="1" stopIfTrue="1">
      <formula>AND(COUNTIF($N$44:$N$44,N44)&gt;1,NOT(ISBLANK(N44)))</formula>
    </cfRule>
  </conditionalFormatting>
  <conditionalFormatting sqref="N44">
    <cfRule type="duplicateValues" priority="352" dxfId="1" stopIfTrue="1">
      <formula>AND(COUNTIF($N$44:$N$44,N44)&gt;1,NOT(ISBLANK(N44)))</formula>
    </cfRule>
  </conditionalFormatting>
  <conditionalFormatting sqref="N44">
    <cfRule type="duplicateValues" priority="351" dxfId="1" stopIfTrue="1">
      <formula>AND(COUNTIF($N$44:$N$44,N44)&gt;1,NOT(ISBLANK(N44)))</formula>
    </cfRule>
  </conditionalFormatting>
  <conditionalFormatting sqref="N44">
    <cfRule type="duplicateValues" priority="350" dxfId="1" stopIfTrue="1">
      <formula>AND(COUNTIF($N$44:$N$44,N44)&gt;1,NOT(ISBLANK(N44)))</formula>
    </cfRule>
  </conditionalFormatting>
  <conditionalFormatting sqref="N44">
    <cfRule type="duplicateValues" priority="349" dxfId="1" stopIfTrue="1">
      <formula>AND(COUNTIF($N$44:$N$44,N44)&gt;1,NOT(ISBLANK(N44)))</formula>
    </cfRule>
  </conditionalFormatting>
  <conditionalFormatting sqref="N44">
    <cfRule type="duplicateValues" priority="348" dxfId="1" stopIfTrue="1">
      <formula>AND(COUNTIF($N$44:$N$44,N44)&gt;1,NOT(ISBLANK(N44)))</formula>
    </cfRule>
  </conditionalFormatting>
  <conditionalFormatting sqref="N44">
    <cfRule type="duplicateValues" priority="347" dxfId="1" stopIfTrue="1">
      <formula>AND(COUNTIF($N$44:$N$44,N44)&gt;1,NOT(ISBLANK(N44)))</formula>
    </cfRule>
  </conditionalFormatting>
  <conditionalFormatting sqref="N44">
    <cfRule type="duplicateValues" priority="346" dxfId="652" stopIfTrue="1">
      <formula>AND(COUNTIF($N$44:$N$44,N44)&gt;1,NOT(ISBLANK(N44)))</formula>
    </cfRule>
  </conditionalFormatting>
  <conditionalFormatting sqref="N44">
    <cfRule type="duplicateValues" priority="344" dxfId="652">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2" stopIfTrue="1">
      <formula>AND(COUNTIF($N$44:$N$44,N44)&gt;1,NOT(ISBLANK(N44)))</formula>
    </cfRule>
  </conditionalFormatting>
  <conditionalFormatting sqref="N48">
    <cfRule type="duplicateValues" priority="336" dxfId="1" stopIfTrue="1">
      <formula>AND(COUNTIF($N$48:$N$48,N48)&gt;1,NOT(ISBLANK(N48)))</formula>
    </cfRule>
  </conditionalFormatting>
  <conditionalFormatting sqref="N48">
    <cfRule type="duplicateValues" priority="334" dxfId="652">
      <formula>AND(COUNTIF($N$48:$N$48,N48)&gt;1,NOT(ISBLANK(N48)))</formula>
    </cfRule>
    <cfRule type="duplicateValues" priority="335" dxfId="1" stopIfTrue="1">
      <formula>AND(COUNTIF($N$48:$N$48,N48)&gt;1,NOT(ISBLANK(N48)))</formula>
    </cfRule>
  </conditionalFormatting>
  <conditionalFormatting sqref="N48">
    <cfRule type="duplicateValues" priority="333" dxfId="1" stopIfTrue="1">
      <formula>AND(COUNTIF($N$48:$N$48,N48)&gt;1,NOT(ISBLANK(N48)))</formula>
    </cfRule>
  </conditionalFormatting>
  <conditionalFormatting sqref="N48">
    <cfRule type="duplicateValues" priority="332" dxfId="1" stopIfTrue="1">
      <formula>AND(COUNTIF($N$48:$N$48,N48)&gt;1,NOT(ISBLANK(N48)))</formula>
    </cfRule>
  </conditionalFormatting>
  <conditionalFormatting sqref="N48">
    <cfRule type="duplicateValues" priority="331" dxfId="1" stopIfTrue="1">
      <formula>AND(COUNTIF($N$48:$N$48,N48)&gt;1,NOT(ISBLANK(N48)))</formula>
    </cfRule>
  </conditionalFormatting>
  <conditionalFormatting sqref="N48">
    <cfRule type="duplicateValues" priority="330" dxfId="1" stopIfTrue="1">
      <formula>AND(COUNTIF($N$48:$N$48,N48)&gt;1,NOT(ISBLANK(N48)))</formula>
    </cfRule>
  </conditionalFormatting>
  <conditionalFormatting sqref="N48">
    <cfRule type="duplicateValues" priority="329" dxfId="1" stopIfTrue="1">
      <formula>AND(COUNTIF($N$48:$N$48,N48)&gt;1,NOT(ISBLANK(N48)))</formula>
    </cfRule>
  </conditionalFormatting>
  <conditionalFormatting sqref="N48">
    <cfRule type="duplicateValues" priority="328" dxfId="1" stopIfTrue="1">
      <formula>AND(COUNTIF($N$48:$N$48,N48)&gt;1,NOT(ISBLANK(N48)))</formula>
    </cfRule>
  </conditionalFormatting>
  <conditionalFormatting sqref="N48">
    <cfRule type="duplicateValues" priority="327" dxfId="652" stopIfTrue="1">
      <formula>AND(COUNTIF($N$48:$N$48,N48)&gt;1,NOT(ISBLANK(N48)))</formula>
    </cfRule>
  </conditionalFormatting>
  <conditionalFormatting sqref="N48">
    <cfRule type="duplicateValues" priority="325" dxfId="652">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2" stopIfTrue="1">
      <formula>AND(COUNTIF($N$48:$N$48,N48)&gt;1,NOT(ISBLANK(N48)))</formula>
    </cfRule>
  </conditionalFormatting>
  <conditionalFormatting sqref="N52">
    <cfRule type="duplicateValues" priority="317" dxfId="1" stopIfTrue="1">
      <formula>AND(COUNTIF($N$52:$N$52,N52)&gt;1,NOT(ISBLANK(N52)))</formula>
    </cfRule>
  </conditionalFormatting>
  <conditionalFormatting sqref="N52">
    <cfRule type="duplicateValues" priority="315" dxfId="652">
      <formula>AND(COUNTIF($N$52:$N$52,N52)&gt;1,NOT(ISBLANK(N52)))</formula>
    </cfRule>
    <cfRule type="duplicateValues" priority="316" dxfId="1" stopIfTrue="1">
      <formula>AND(COUNTIF($N$52:$N$52,N52)&gt;1,NOT(ISBLANK(N52)))</formula>
    </cfRule>
  </conditionalFormatting>
  <conditionalFormatting sqref="N52">
    <cfRule type="duplicateValues" priority="314" dxfId="1" stopIfTrue="1">
      <formula>AND(COUNTIF($N$52:$N$52,N52)&gt;1,NOT(ISBLANK(N52)))</formula>
    </cfRule>
  </conditionalFormatting>
  <conditionalFormatting sqref="N52">
    <cfRule type="duplicateValues" priority="313" dxfId="1" stopIfTrue="1">
      <formula>AND(COUNTIF($N$52:$N$52,N52)&gt;1,NOT(ISBLANK(N52)))</formula>
    </cfRule>
  </conditionalFormatting>
  <conditionalFormatting sqref="N52">
    <cfRule type="duplicateValues" priority="312" dxfId="1" stopIfTrue="1">
      <formula>AND(COUNTIF($N$52:$N$52,N52)&gt;1,NOT(ISBLANK(N52)))</formula>
    </cfRule>
  </conditionalFormatting>
  <conditionalFormatting sqref="N52">
    <cfRule type="duplicateValues" priority="311" dxfId="1" stopIfTrue="1">
      <formula>AND(COUNTIF($N$52:$N$52,N52)&gt;1,NOT(ISBLANK(N52)))</formula>
    </cfRule>
  </conditionalFormatting>
  <conditionalFormatting sqref="N52">
    <cfRule type="duplicateValues" priority="310" dxfId="1" stopIfTrue="1">
      <formula>AND(COUNTIF($N$52:$N$52,N52)&gt;1,NOT(ISBLANK(N52)))</formula>
    </cfRule>
  </conditionalFormatting>
  <conditionalFormatting sqref="N52">
    <cfRule type="duplicateValues" priority="309" dxfId="1" stopIfTrue="1">
      <formula>AND(COUNTIF($N$52:$N$52,N52)&gt;1,NOT(ISBLANK(N52)))</formula>
    </cfRule>
  </conditionalFormatting>
  <conditionalFormatting sqref="N52">
    <cfRule type="duplicateValues" priority="308" dxfId="652" stopIfTrue="1">
      <formula>AND(COUNTIF($N$52:$N$52,N52)&gt;1,NOT(ISBLANK(N52)))</formula>
    </cfRule>
  </conditionalFormatting>
  <conditionalFormatting sqref="N52">
    <cfRule type="duplicateValues" priority="306" dxfId="652">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2" stopIfTrue="1">
      <formula>AND(COUNTIF($N$52:$N$52,N52)&gt;1,NOT(ISBLANK(N52)))</formula>
    </cfRule>
  </conditionalFormatting>
  <conditionalFormatting sqref="N56">
    <cfRule type="duplicateValues" priority="298" dxfId="1" stopIfTrue="1">
      <formula>AND(COUNTIF($N$56:$N$56,N56)&gt;1,NOT(ISBLANK(N56)))</formula>
    </cfRule>
  </conditionalFormatting>
  <conditionalFormatting sqref="N56">
    <cfRule type="duplicateValues" priority="296" dxfId="652">
      <formula>AND(COUNTIF($N$56:$N$56,N56)&gt;1,NOT(ISBLANK(N56)))</formula>
    </cfRule>
    <cfRule type="duplicateValues" priority="297" dxfId="1" stopIfTrue="1">
      <formula>AND(COUNTIF($N$56:$N$56,N56)&gt;1,NOT(ISBLANK(N56)))</formula>
    </cfRule>
  </conditionalFormatting>
  <conditionalFormatting sqref="N56">
    <cfRule type="duplicateValues" priority="295" dxfId="1" stopIfTrue="1">
      <formula>AND(COUNTIF($N$56:$N$56,N56)&gt;1,NOT(ISBLANK(N56)))</formula>
    </cfRule>
  </conditionalFormatting>
  <conditionalFormatting sqref="N56">
    <cfRule type="duplicateValues" priority="294" dxfId="1" stopIfTrue="1">
      <formula>AND(COUNTIF($N$56:$N$56,N56)&gt;1,NOT(ISBLANK(N56)))</formula>
    </cfRule>
  </conditionalFormatting>
  <conditionalFormatting sqref="N56">
    <cfRule type="duplicateValues" priority="293" dxfId="1" stopIfTrue="1">
      <formula>AND(COUNTIF($N$56:$N$56,N56)&gt;1,NOT(ISBLANK(N56)))</formula>
    </cfRule>
  </conditionalFormatting>
  <conditionalFormatting sqref="N56">
    <cfRule type="duplicateValues" priority="292" dxfId="1" stopIfTrue="1">
      <formula>AND(COUNTIF($N$56:$N$56,N56)&gt;1,NOT(ISBLANK(N56)))</formula>
    </cfRule>
  </conditionalFormatting>
  <conditionalFormatting sqref="N56">
    <cfRule type="duplicateValues" priority="291" dxfId="1" stopIfTrue="1">
      <formula>AND(COUNTIF($N$56:$N$56,N56)&gt;1,NOT(ISBLANK(N56)))</formula>
    </cfRule>
  </conditionalFormatting>
  <conditionalFormatting sqref="N56">
    <cfRule type="duplicateValues" priority="290" dxfId="1" stopIfTrue="1">
      <formula>AND(COUNTIF($N$56:$N$56,N56)&gt;1,NOT(ISBLANK(N56)))</formula>
    </cfRule>
  </conditionalFormatting>
  <conditionalFormatting sqref="N56">
    <cfRule type="duplicateValues" priority="289" dxfId="652" stopIfTrue="1">
      <formula>AND(COUNTIF($N$56:$N$56,N56)&gt;1,NOT(ISBLANK(N56)))</formula>
    </cfRule>
  </conditionalFormatting>
  <conditionalFormatting sqref="N56">
    <cfRule type="duplicateValues" priority="287" dxfId="652">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2" stopIfTrue="1">
      <formula>AND(COUNTIF($N$56:$N$56,N56)&gt;1,NOT(ISBLANK(N56)))</formula>
    </cfRule>
  </conditionalFormatting>
  <conditionalFormatting sqref="N60">
    <cfRule type="duplicateValues" priority="279" dxfId="1" stopIfTrue="1">
      <formula>AND(COUNTIF($N$60:$N$60,N60)&gt;1,NOT(ISBLANK(N60)))</formula>
    </cfRule>
  </conditionalFormatting>
  <conditionalFormatting sqref="N60">
    <cfRule type="duplicateValues" priority="277" dxfId="652">
      <formula>AND(COUNTIF($N$60:$N$60,N60)&gt;1,NOT(ISBLANK(N60)))</formula>
    </cfRule>
    <cfRule type="duplicateValues" priority="278" dxfId="1" stopIfTrue="1">
      <formula>AND(COUNTIF($N$60:$N$60,N60)&gt;1,NOT(ISBLANK(N60)))</formula>
    </cfRule>
  </conditionalFormatting>
  <conditionalFormatting sqref="N60">
    <cfRule type="duplicateValues" priority="276" dxfId="1" stopIfTrue="1">
      <formula>AND(COUNTIF($N$60:$N$60,N60)&gt;1,NOT(ISBLANK(N60)))</formula>
    </cfRule>
  </conditionalFormatting>
  <conditionalFormatting sqref="N60">
    <cfRule type="duplicateValues" priority="275" dxfId="1" stopIfTrue="1">
      <formula>AND(COUNTIF($N$60:$N$60,N60)&gt;1,NOT(ISBLANK(N60)))</formula>
    </cfRule>
  </conditionalFormatting>
  <conditionalFormatting sqref="N60">
    <cfRule type="duplicateValues" priority="274" dxfId="1" stopIfTrue="1">
      <formula>AND(COUNTIF($N$60:$N$60,N60)&gt;1,NOT(ISBLANK(N60)))</formula>
    </cfRule>
  </conditionalFormatting>
  <conditionalFormatting sqref="N60">
    <cfRule type="duplicateValues" priority="273" dxfId="1" stopIfTrue="1">
      <formula>AND(COUNTIF($N$60:$N$60,N60)&gt;1,NOT(ISBLANK(N60)))</formula>
    </cfRule>
  </conditionalFormatting>
  <conditionalFormatting sqref="N60">
    <cfRule type="duplicateValues" priority="272" dxfId="1" stopIfTrue="1">
      <formula>AND(COUNTIF($N$60:$N$60,N60)&gt;1,NOT(ISBLANK(N60)))</formula>
    </cfRule>
  </conditionalFormatting>
  <conditionalFormatting sqref="N60">
    <cfRule type="duplicateValues" priority="271" dxfId="1" stopIfTrue="1">
      <formula>AND(COUNTIF($N$60:$N$60,N60)&gt;1,NOT(ISBLANK(N60)))</formula>
    </cfRule>
  </conditionalFormatting>
  <conditionalFormatting sqref="N60">
    <cfRule type="duplicateValues" priority="270" dxfId="652" stopIfTrue="1">
      <formula>AND(COUNTIF($N$60:$N$60,N60)&gt;1,NOT(ISBLANK(N60)))</formula>
    </cfRule>
  </conditionalFormatting>
  <conditionalFormatting sqref="N60">
    <cfRule type="duplicateValues" priority="268" dxfId="652">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2" stopIfTrue="1">
      <formula>AND(COUNTIF($N$60:$N$60,N60)&gt;1,NOT(ISBLANK(N60)))</formula>
    </cfRule>
  </conditionalFormatting>
  <conditionalFormatting sqref="N64">
    <cfRule type="duplicateValues" priority="260" dxfId="1" stopIfTrue="1">
      <formula>AND(COUNTIF($N$64:$N$64,N64)&gt;1,NOT(ISBLANK(N64)))</formula>
    </cfRule>
  </conditionalFormatting>
  <conditionalFormatting sqref="N64">
    <cfRule type="duplicateValues" priority="258" dxfId="652">
      <formula>AND(COUNTIF($N$64:$N$64,N64)&gt;1,NOT(ISBLANK(N64)))</formula>
    </cfRule>
    <cfRule type="duplicateValues" priority="259" dxfId="1" stopIfTrue="1">
      <formula>AND(COUNTIF($N$64:$N$64,N64)&gt;1,NOT(ISBLANK(N64)))</formula>
    </cfRule>
  </conditionalFormatting>
  <conditionalFormatting sqref="N64">
    <cfRule type="duplicateValues" priority="257" dxfId="1" stopIfTrue="1">
      <formula>AND(COUNTIF($N$64:$N$64,N64)&gt;1,NOT(ISBLANK(N64)))</formula>
    </cfRule>
  </conditionalFormatting>
  <conditionalFormatting sqref="N64">
    <cfRule type="duplicateValues" priority="256" dxfId="1" stopIfTrue="1">
      <formula>AND(COUNTIF($N$64:$N$64,N64)&gt;1,NOT(ISBLANK(N64)))</formula>
    </cfRule>
  </conditionalFormatting>
  <conditionalFormatting sqref="N64">
    <cfRule type="duplicateValues" priority="255" dxfId="1" stopIfTrue="1">
      <formula>AND(COUNTIF($N$64:$N$64,N64)&gt;1,NOT(ISBLANK(N64)))</formula>
    </cfRule>
  </conditionalFormatting>
  <conditionalFormatting sqref="N64">
    <cfRule type="duplicateValues" priority="254" dxfId="1" stopIfTrue="1">
      <formula>AND(COUNTIF($N$64:$N$64,N64)&gt;1,NOT(ISBLANK(N64)))</formula>
    </cfRule>
  </conditionalFormatting>
  <conditionalFormatting sqref="N64">
    <cfRule type="duplicateValues" priority="253" dxfId="1" stopIfTrue="1">
      <formula>AND(COUNTIF($N$64:$N$64,N64)&gt;1,NOT(ISBLANK(N64)))</formula>
    </cfRule>
  </conditionalFormatting>
  <conditionalFormatting sqref="N64">
    <cfRule type="duplicateValues" priority="252" dxfId="1" stopIfTrue="1">
      <formula>AND(COUNTIF($N$64:$N$64,N64)&gt;1,NOT(ISBLANK(N64)))</formula>
    </cfRule>
  </conditionalFormatting>
  <conditionalFormatting sqref="N64">
    <cfRule type="duplicateValues" priority="251" dxfId="652" stopIfTrue="1">
      <formula>AND(COUNTIF($N$64:$N$64,N64)&gt;1,NOT(ISBLANK(N64)))</formula>
    </cfRule>
  </conditionalFormatting>
  <conditionalFormatting sqref="N64">
    <cfRule type="duplicateValues" priority="249" dxfId="652">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2" stopIfTrue="1">
      <formula>AND(COUNTIF($N$64:$N$64,N64)&gt;1,NOT(ISBLANK(N64)))</formula>
    </cfRule>
  </conditionalFormatting>
  <conditionalFormatting sqref="N68">
    <cfRule type="duplicateValues" priority="241" dxfId="1" stopIfTrue="1">
      <formula>AND(COUNTIF($N$68:$N$68,N68)&gt;1,NOT(ISBLANK(N68)))</formula>
    </cfRule>
  </conditionalFormatting>
  <conditionalFormatting sqref="N68">
    <cfRule type="duplicateValues" priority="239" dxfId="652">
      <formula>AND(COUNTIF($N$68:$N$68,N68)&gt;1,NOT(ISBLANK(N68)))</formula>
    </cfRule>
    <cfRule type="duplicateValues" priority="240" dxfId="1" stopIfTrue="1">
      <formula>AND(COUNTIF($N$68:$N$68,N68)&gt;1,NOT(ISBLANK(N68)))</formula>
    </cfRule>
  </conditionalFormatting>
  <conditionalFormatting sqref="N68">
    <cfRule type="duplicateValues" priority="238" dxfId="1" stopIfTrue="1">
      <formula>AND(COUNTIF($N$68:$N$68,N68)&gt;1,NOT(ISBLANK(N68)))</formula>
    </cfRule>
  </conditionalFormatting>
  <conditionalFormatting sqref="N68">
    <cfRule type="duplicateValues" priority="237" dxfId="1" stopIfTrue="1">
      <formula>AND(COUNTIF($N$68:$N$68,N68)&gt;1,NOT(ISBLANK(N68)))</formula>
    </cfRule>
  </conditionalFormatting>
  <conditionalFormatting sqref="N68">
    <cfRule type="duplicateValues" priority="236" dxfId="1" stopIfTrue="1">
      <formula>AND(COUNTIF($N$68:$N$68,N68)&gt;1,NOT(ISBLANK(N68)))</formula>
    </cfRule>
  </conditionalFormatting>
  <conditionalFormatting sqref="N68">
    <cfRule type="duplicateValues" priority="235" dxfId="1" stopIfTrue="1">
      <formula>AND(COUNTIF($N$68:$N$68,N68)&gt;1,NOT(ISBLANK(N68)))</formula>
    </cfRule>
  </conditionalFormatting>
  <conditionalFormatting sqref="N68">
    <cfRule type="duplicateValues" priority="234" dxfId="1" stopIfTrue="1">
      <formula>AND(COUNTIF($N$68:$N$68,N68)&gt;1,NOT(ISBLANK(N68)))</formula>
    </cfRule>
  </conditionalFormatting>
  <conditionalFormatting sqref="N68">
    <cfRule type="duplicateValues" priority="233" dxfId="1" stopIfTrue="1">
      <formula>AND(COUNTIF($N$68:$N$68,N68)&gt;1,NOT(ISBLANK(N68)))</formula>
    </cfRule>
  </conditionalFormatting>
  <conditionalFormatting sqref="N68">
    <cfRule type="duplicateValues" priority="232" dxfId="652" stopIfTrue="1">
      <formula>AND(COUNTIF($N$68:$N$68,N68)&gt;1,NOT(ISBLANK(N68)))</formula>
    </cfRule>
  </conditionalFormatting>
  <conditionalFormatting sqref="N68">
    <cfRule type="duplicateValues" priority="230" dxfId="652">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2" stopIfTrue="1">
      <formula>AND(COUNTIF($N$68:$N$68,N68)&gt;1,NOT(ISBLANK(N68)))</formula>
    </cfRule>
  </conditionalFormatting>
  <conditionalFormatting sqref="N72">
    <cfRule type="duplicateValues" priority="222" dxfId="1" stopIfTrue="1">
      <formula>AND(COUNTIF($N$72:$N$72,N72)&gt;1,NOT(ISBLANK(N72)))</formula>
    </cfRule>
  </conditionalFormatting>
  <conditionalFormatting sqref="N72">
    <cfRule type="duplicateValues" priority="220" dxfId="652">
      <formula>AND(COUNTIF($N$72:$N$72,N72)&gt;1,NOT(ISBLANK(N72)))</formula>
    </cfRule>
    <cfRule type="duplicateValues" priority="221" dxfId="1" stopIfTrue="1">
      <formula>AND(COUNTIF($N$72:$N$72,N72)&gt;1,NOT(ISBLANK(N72)))</formula>
    </cfRule>
  </conditionalFormatting>
  <conditionalFormatting sqref="N72">
    <cfRule type="duplicateValues" priority="219" dxfId="1" stopIfTrue="1">
      <formula>AND(COUNTIF($N$72:$N$72,N72)&gt;1,NOT(ISBLANK(N72)))</formula>
    </cfRule>
  </conditionalFormatting>
  <conditionalFormatting sqref="N72">
    <cfRule type="duplicateValues" priority="218" dxfId="1" stopIfTrue="1">
      <formula>AND(COUNTIF($N$72:$N$72,N72)&gt;1,NOT(ISBLANK(N72)))</formula>
    </cfRule>
  </conditionalFormatting>
  <conditionalFormatting sqref="N72">
    <cfRule type="duplicateValues" priority="217" dxfId="1" stopIfTrue="1">
      <formula>AND(COUNTIF($N$72:$N$72,N72)&gt;1,NOT(ISBLANK(N72)))</formula>
    </cfRule>
  </conditionalFormatting>
  <conditionalFormatting sqref="N72">
    <cfRule type="duplicateValues" priority="216" dxfId="1" stopIfTrue="1">
      <formula>AND(COUNTIF($N$72:$N$72,N72)&gt;1,NOT(ISBLANK(N72)))</formula>
    </cfRule>
  </conditionalFormatting>
  <conditionalFormatting sqref="N72">
    <cfRule type="duplicateValues" priority="215" dxfId="1" stopIfTrue="1">
      <formula>AND(COUNTIF($N$72:$N$72,N72)&gt;1,NOT(ISBLANK(N72)))</formula>
    </cfRule>
  </conditionalFormatting>
  <conditionalFormatting sqref="N72">
    <cfRule type="duplicateValues" priority="214" dxfId="1" stopIfTrue="1">
      <formula>AND(COUNTIF($N$72:$N$72,N72)&gt;1,NOT(ISBLANK(N72)))</formula>
    </cfRule>
  </conditionalFormatting>
  <conditionalFormatting sqref="N72">
    <cfRule type="duplicateValues" priority="213" dxfId="652" stopIfTrue="1">
      <formula>AND(COUNTIF($N$72:$N$72,N72)&gt;1,NOT(ISBLANK(N72)))</formula>
    </cfRule>
  </conditionalFormatting>
  <conditionalFormatting sqref="N72">
    <cfRule type="duplicateValues" priority="211" dxfId="652">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2" stopIfTrue="1">
      <formula>AND(COUNTIF($N$72:$N$72,N72)&gt;1,NOT(ISBLANK(N72)))</formula>
    </cfRule>
  </conditionalFormatting>
  <conditionalFormatting sqref="N124 N120 N116 N112 N108 N104 N100 N96 N92 N88 N84 N80 N76">
    <cfRule type="duplicateValues" priority="20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1" dxfId="652">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0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4" dxfId="652"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2">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2"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63" dxfId="652">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6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652"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4" dxfId="652">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2"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46" dxfId="653" operator="greaterThan">
      <formula>1000</formula>
    </cfRule>
  </conditionalFormatting>
  <conditionalFormatting sqref="A8">
    <cfRule type="cellIs" priority="145" dxfId="653" operator="greaterThan">
      <formula>1000</formula>
    </cfRule>
  </conditionalFormatting>
  <conditionalFormatting sqref="A8">
    <cfRule type="cellIs" priority="144" dxfId="653" operator="greaterThan">
      <formula>1000</formula>
    </cfRule>
  </conditionalFormatting>
  <conditionalFormatting sqref="O8">
    <cfRule type="duplicateValues" priority="135" dxfId="652">
      <formula>AND(COUNTIF($O$8:$O$8,O8)&gt;1,NOT(ISBLANK(O8)))</formula>
    </cfRule>
    <cfRule type="duplicateValues" priority="136" dxfId="1" stopIfTrue="1">
      <formula>AND(COUNTIF($O$8:$O$8,O8)&gt;1,NOT(ISBLANK(O8)))</formula>
    </cfRule>
  </conditionalFormatting>
  <conditionalFormatting sqref="O8">
    <cfRule type="duplicateValues" priority="134" dxfId="1" stopIfTrue="1">
      <formula>AND(COUNTIF($O$8:$O$8,O8)&gt;1,NOT(ISBLANK(O8)))</formula>
    </cfRule>
  </conditionalFormatting>
  <conditionalFormatting sqref="O8">
    <cfRule type="duplicateValues" priority="133" dxfId="1" stopIfTrue="1">
      <formula>AND(COUNTIF($O$8:$O$8,O8)&gt;1,NOT(ISBLANK(O8)))</formula>
    </cfRule>
  </conditionalFormatting>
  <conditionalFormatting sqref="O8">
    <cfRule type="duplicateValues" priority="132" dxfId="1" stopIfTrue="1">
      <formula>AND(COUNTIF($O$8:$O$8,O8)&gt;1,NOT(ISBLANK(O8)))</formula>
    </cfRule>
  </conditionalFormatting>
  <conditionalFormatting sqref="O8">
    <cfRule type="duplicateValues" priority="131" dxfId="1" stopIfTrue="1">
      <formula>AND(COUNTIF($O$8:$O$8,O8)&gt;1,NOT(ISBLANK(O8)))</formula>
    </cfRule>
  </conditionalFormatting>
  <conditionalFormatting sqref="O8">
    <cfRule type="duplicateValues" priority="130" dxfId="1" stopIfTrue="1">
      <formula>AND(COUNTIF($O$8:$O$8,O8)&gt;1,NOT(ISBLANK(O8)))</formula>
    </cfRule>
  </conditionalFormatting>
  <conditionalFormatting sqref="O8">
    <cfRule type="duplicateValues" priority="129" dxfId="1" stopIfTrue="1">
      <formula>AND(COUNTIF($O$8:$O$8,O8)&gt;1,NOT(ISBLANK(O8)))</formula>
    </cfRule>
  </conditionalFormatting>
  <conditionalFormatting sqref="O8">
    <cfRule type="duplicateValues" priority="128" dxfId="652" stopIfTrue="1">
      <formula>AND(COUNTIF($O$8:$O$8,O8)&gt;1,NOT(ISBLANK(O8)))</formula>
    </cfRule>
  </conditionalFormatting>
  <conditionalFormatting sqref="O8">
    <cfRule type="duplicateValues" priority="126" dxfId="652">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2" stopIfTrue="1">
      <formula>AND(COUNTIF($O$8:$O$8,O8)&gt;1,NOT(ISBLANK(O8)))</formula>
    </cfRule>
  </conditionalFormatting>
  <conditionalFormatting sqref="O8">
    <cfRule type="duplicateValues" priority="137" dxfId="1" stopIfTrue="1">
      <formula>AND(COUNTIF($O$8:$O$8,O8)&gt;1,NOT(ISBLANK(O8)))</formula>
    </cfRule>
  </conditionalFormatting>
  <conditionalFormatting sqref="B8">
    <cfRule type="cellIs" priority="118" dxfId="653" operator="greaterThan">
      <formula>1000</formula>
    </cfRule>
  </conditionalFormatting>
  <conditionalFormatting sqref="B8">
    <cfRule type="cellIs" priority="117" dxfId="653" operator="greaterThan">
      <formula>1000</formula>
    </cfRule>
  </conditionalFormatting>
  <conditionalFormatting sqref="B8">
    <cfRule type="cellIs" priority="116" dxfId="653" operator="greaterThan">
      <formula>1000</formula>
    </cfRule>
  </conditionalFormatting>
  <conditionalFormatting sqref="B8">
    <cfRule type="cellIs" priority="115" dxfId="653" operator="greaterThan">
      <formula>1000</formula>
    </cfRule>
  </conditionalFormatting>
  <conditionalFormatting sqref="B16 B12 B20">
    <cfRule type="cellIs" priority="114" dxfId="653" operator="greaterThan">
      <formula>1000</formula>
    </cfRule>
  </conditionalFormatting>
  <conditionalFormatting sqref="B16 B12 B20">
    <cfRule type="cellIs" priority="113" dxfId="653" operator="greaterThan">
      <formula>1000</formula>
    </cfRule>
  </conditionalFormatting>
  <conditionalFormatting sqref="B16 B12 B20">
    <cfRule type="cellIs" priority="112" dxfId="653" operator="greaterThan">
      <formula>1000</formula>
    </cfRule>
  </conditionalFormatting>
  <conditionalFormatting sqref="B16 B12 B20">
    <cfRule type="cellIs" priority="111" dxfId="653" operator="greaterThan">
      <formula>1000</formula>
    </cfRule>
  </conditionalFormatting>
  <conditionalFormatting sqref="B112">
    <cfRule type="cellIs" priority="34" dxfId="653" operator="greaterThan">
      <formula>1000</formula>
    </cfRule>
  </conditionalFormatting>
  <conditionalFormatting sqref="B112">
    <cfRule type="cellIs" priority="33" dxfId="653" operator="greaterThan">
      <formula>1000</formula>
    </cfRule>
  </conditionalFormatting>
  <conditionalFormatting sqref="B112">
    <cfRule type="cellIs" priority="32" dxfId="653" operator="greaterThan">
      <formula>1000</formula>
    </cfRule>
  </conditionalFormatting>
  <conditionalFormatting sqref="B112">
    <cfRule type="cellIs" priority="31" dxfId="653" operator="greaterThan">
      <formula>1000</formula>
    </cfRule>
  </conditionalFormatting>
  <conditionalFormatting sqref="B120">
    <cfRule type="cellIs" priority="26" dxfId="653" operator="greaterThan">
      <formula>1000</formula>
    </cfRule>
  </conditionalFormatting>
  <conditionalFormatting sqref="B120">
    <cfRule type="cellIs" priority="25" dxfId="653" operator="greaterThan">
      <formula>1000</formula>
    </cfRule>
  </conditionalFormatting>
  <conditionalFormatting sqref="B120">
    <cfRule type="cellIs" priority="24" dxfId="653" operator="greaterThan">
      <formula>1000</formula>
    </cfRule>
  </conditionalFormatting>
  <conditionalFormatting sqref="B120">
    <cfRule type="cellIs" priority="23" dxfId="653" operator="greaterThan">
      <formula>1000</formula>
    </cfRule>
  </conditionalFormatting>
  <conditionalFormatting sqref="B28 B24">
    <cfRule type="cellIs" priority="102" dxfId="653" operator="greaterThan">
      <formula>1000</formula>
    </cfRule>
  </conditionalFormatting>
  <conditionalFormatting sqref="B28 B24">
    <cfRule type="cellIs" priority="101" dxfId="653" operator="greaterThan">
      <formula>1000</formula>
    </cfRule>
  </conditionalFormatting>
  <conditionalFormatting sqref="B28 B24">
    <cfRule type="cellIs" priority="100" dxfId="653" operator="greaterThan">
      <formula>1000</formula>
    </cfRule>
  </conditionalFormatting>
  <conditionalFormatting sqref="B28 B24">
    <cfRule type="cellIs" priority="99" dxfId="653" operator="greaterThan">
      <formula>1000</formula>
    </cfRule>
  </conditionalFormatting>
  <conditionalFormatting sqref="B48 B44 B40 B36 B32">
    <cfRule type="cellIs" priority="98" dxfId="653" operator="greaterThan">
      <formula>1000</formula>
    </cfRule>
  </conditionalFormatting>
  <conditionalFormatting sqref="B48 B44 B40 B36 B32">
    <cfRule type="cellIs" priority="97" dxfId="653" operator="greaterThan">
      <formula>1000</formula>
    </cfRule>
  </conditionalFormatting>
  <conditionalFormatting sqref="B48 B44 B40 B36 B32">
    <cfRule type="cellIs" priority="96" dxfId="653" operator="greaterThan">
      <formula>1000</formula>
    </cfRule>
  </conditionalFormatting>
  <conditionalFormatting sqref="B48 B44 B40 B36 B32">
    <cfRule type="cellIs" priority="95" dxfId="653" operator="greaterThan">
      <formula>1000</formula>
    </cfRule>
  </conditionalFormatting>
  <conditionalFormatting sqref="B52">
    <cfRule type="cellIs" priority="94" dxfId="653" operator="greaterThan">
      <formula>1000</formula>
    </cfRule>
  </conditionalFormatting>
  <conditionalFormatting sqref="B52">
    <cfRule type="cellIs" priority="93" dxfId="653" operator="greaterThan">
      <formula>1000</formula>
    </cfRule>
  </conditionalFormatting>
  <conditionalFormatting sqref="B52">
    <cfRule type="cellIs" priority="92" dxfId="653" operator="greaterThan">
      <formula>1000</formula>
    </cfRule>
  </conditionalFormatting>
  <conditionalFormatting sqref="B52">
    <cfRule type="cellIs" priority="91" dxfId="653" operator="greaterThan">
      <formula>1000</formula>
    </cfRule>
  </conditionalFormatting>
  <conditionalFormatting sqref="B56">
    <cfRule type="cellIs" priority="90" dxfId="653" operator="greaterThan">
      <formula>1000</formula>
    </cfRule>
  </conditionalFormatting>
  <conditionalFormatting sqref="B56">
    <cfRule type="cellIs" priority="89" dxfId="653" operator="greaterThan">
      <formula>1000</formula>
    </cfRule>
  </conditionalFormatting>
  <conditionalFormatting sqref="B56">
    <cfRule type="cellIs" priority="88" dxfId="653" operator="greaterThan">
      <formula>1000</formula>
    </cfRule>
  </conditionalFormatting>
  <conditionalFormatting sqref="B56">
    <cfRule type="cellIs" priority="87" dxfId="653" operator="greaterThan">
      <formula>1000</formula>
    </cfRule>
  </conditionalFormatting>
  <conditionalFormatting sqref="B60">
    <cfRule type="cellIs" priority="86" dxfId="653" operator="greaterThan">
      <formula>1000</formula>
    </cfRule>
  </conditionalFormatting>
  <conditionalFormatting sqref="B60">
    <cfRule type="cellIs" priority="85" dxfId="653" operator="greaterThan">
      <formula>1000</formula>
    </cfRule>
  </conditionalFormatting>
  <conditionalFormatting sqref="B60">
    <cfRule type="cellIs" priority="84" dxfId="653" operator="greaterThan">
      <formula>1000</formula>
    </cfRule>
  </conditionalFormatting>
  <conditionalFormatting sqref="B60">
    <cfRule type="cellIs" priority="83" dxfId="653" operator="greaterThan">
      <formula>1000</formula>
    </cfRule>
  </conditionalFormatting>
  <conditionalFormatting sqref="B64">
    <cfRule type="cellIs" priority="82" dxfId="653" operator="greaterThan">
      <formula>1000</formula>
    </cfRule>
  </conditionalFormatting>
  <conditionalFormatting sqref="B64">
    <cfRule type="cellIs" priority="81" dxfId="653" operator="greaterThan">
      <formula>1000</formula>
    </cfRule>
  </conditionalFormatting>
  <conditionalFormatting sqref="B64">
    <cfRule type="cellIs" priority="80" dxfId="653" operator="greaterThan">
      <formula>1000</formula>
    </cfRule>
  </conditionalFormatting>
  <conditionalFormatting sqref="B64">
    <cfRule type="cellIs" priority="79" dxfId="653" operator="greaterThan">
      <formula>1000</formula>
    </cfRule>
  </conditionalFormatting>
  <conditionalFormatting sqref="B68">
    <cfRule type="cellIs" priority="78" dxfId="653" operator="greaterThan">
      <formula>1000</formula>
    </cfRule>
  </conditionalFormatting>
  <conditionalFormatting sqref="B68">
    <cfRule type="cellIs" priority="77" dxfId="653" operator="greaterThan">
      <formula>1000</formula>
    </cfRule>
  </conditionalFormatting>
  <conditionalFormatting sqref="B68">
    <cfRule type="cellIs" priority="76" dxfId="653" operator="greaterThan">
      <formula>1000</formula>
    </cfRule>
  </conditionalFormatting>
  <conditionalFormatting sqref="B68">
    <cfRule type="cellIs" priority="75" dxfId="653" operator="greaterThan">
      <formula>1000</formula>
    </cfRule>
  </conditionalFormatting>
  <conditionalFormatting sqref="B72">
    <cfRule type="cellIs" priority="74" dxfId="653" operator="greaterThan">
      <formula>1000</formula>
    </cfRule>
  </conditionalFormatting>
  <conditionalFormatting sqref="B72">
    <cfRule type="cellIs" priority="73" dxfId="653" operator="greaterThan">
      <formula>1000</formula>
    </cfRule>
  </conditionalFormatting>
  <conditionalFormatting sqref="B72">
    <cfRule type="cellIs" priority="72" dxfId="653" operator="greaterThan">
      <formula>1000</formula>
    </cfRule>
  </conditionalFormatting>
  <conditionalFormatting sqref="B72">
    <cfRule type="cellIs" priority="71" dxfId="653" operator="greaterThan">
      <formula>1000</formula>
    </cfRule>
  </conditionalFormatting>
  <conditionalFormatting sqref="B76">
    <cfRule type="cellIs" priority="70" dxfId="653" operator="greaterThan">
      <formula>1000</formula>
    </cfRule>
  </conditionalFormatting>
  <conditionalFormatting sqref="B76">
    <cfRule type="cellIs" priority="69" dxfId="653" operator="greaterThan">
      <formula>1000</formula>
    </cfRule>
  </conditionalFormatting>
  <conditionalFormatting sqref="B76">
    <cfRule type="cellIs" priority="68" dxfId="653" operator="greaterThan">
      <formula>1000</formula>
    </cfRule>
  </conditionalFormatting>
  <conditionalFormatting sqref="B76">
    <cfRule type="cellIs" priority="67" dxfId="653" operator="greaterThan">
      <formula>1000</formula>
    </cfRule>
  </conditionalFormatting>
  <conditionalFormatting sqref="B80">
    <cfRule type="cellIs" priority="66" dxfId="653" operator="greaterThan">
      <formula>1000</formula>
    </cfRule>
  </conditionalFormatting>
  <conditionalFormatting sqref="B80">
    <cfRule type="cellIs" priority="65" dxfId="653" operator="greaterThan">
      <formula>1000</formula>
    </cfRule>
  </conditionalFormatting>
  <conditionalFormatting sqref="B80">
    <cfRule type="cellIs" priority="64" dxfId="653" operator="greaterThan">
      <formula>1000</formula>
    </cfRule>
  </conditionalFormatting>
  <conditionalFormatting sqref="B80">
    <cfRule type="cellIs" priority="63" dxfId="653" operator="greaterThan">
      <formula>1000</formula>
    </cfRule>
  </conditionalFormatting>
  <conditionalFormatting sqref="B84">
    <cfRule type="cellIs" priority="62" dxfId="653" operator="greaterThan">
      <formula>1000</formula>
    </cfRule>
  </conditionalFormatting>
  <conditionalFormatting sqref="B84">
    <cfRule type="cellIs" priority="61" dxfId="653" operator="greaterThan">
      <formula>1000</formula>
    </cfRule>
  </conditionalFormatting>
  <conditionalFormatting sqref="B84">
    <cfRule type="cellIs" priority="60" dxfId="653" operator="greaterThan">
      <formula>1000</formula>
    </cfRule>
  </conditionalFormatting>
  <conditionalFormatting sqref="B84">
    <cfRule type="cellIs" priority="59" dxfId="653" operator="greaterThan">
      <formula>1000</formula>
    </cfRule>
  </conditionalFormatting>
  <conditionalFormatting sqref="B88">
    <cfRule type="cellIs" priority="58" dxfId="653" operator="greaterThan">
      <formula>1000</formula>
    </cfRule>
  </conditionalFormatting>
  <conditionalFormatting sqref="B88">
    <cfRule type="cellIs" priority="57" dxfId="653" operator="greaterThan">
      <formula>1000</formula>
    </cfRule>
  </conditionalFormatting>
  <conditionalFormatting sqref="B88">
    <cfRule type="cellIs" priority="56" dxfId="653" operator="greaterThan">
      <formula>1000</formula>
    </cfRule>
  </conditionalFormatting>
  <conditionalFormatting sqref="B88">
    <cfRule type="cellIs" priority="55" dxfId="653" operator="greaterThan">
      <formula>1000</formula>
    </cfRule>
  </conditionalFormatting>
  <conditionalFormatting sqref="B92">
    <cfRule type="cellIs" priority="54" dxfId="653" operator="greaterThan">
      <formula>1000</formula>
    </cfRule>
  </conditionalFormatting>
  <conditionalFormatting sqref="B92">
    <cfRule type="cellIs" priority="53" dxfId="653" operator="greaterThan">
      <formula>1000</formula>
    </cfRule>
  </conditionalFormatting>
  <conditionalFormatting sqref="B92">
    <cfRule type="cellIs" priority="52" dxfId="653" operator="greaterThan">
      <formula>1000</formula>
    </cfRule>
  </conditionalFormatting>
  <conditionalFormatting sqref="B92">
    <cfRule type="cellIs" priority="51" dxfId="653" operator="greaterThan">
      <formula>1000</formula>
    </cfRule>
  </conditionalFormatting>
  <conditionalFormatting sqref="B96">
    <cfRule type="cellIs" priority="50" dxfId="653" operator="greaterThan">
      <formula>1000</formula>
    </cfRule>
  </conditionalFormatting>
  <conditionalFormatting sqref="B96">
    <cfRule type="cellIs" priority="49" dxfId="653" operator="greaterThan">
      <formula>1000</formula>
    </cfRule>
  </conditionalFormatting>
  <conditionalFormatting sqref="B96">
    <cfRule type="cellIs" priority="48" dxfId="653" operator="greaterThan">
      <formula>1000</formula>
    </cfRule>
  </conditionalFormatting>
  <conditionalFormatting sqref="B96">
    <cfRule type="cellIs" priority="47" dxfId="653" operator="greaterThan">
      <formula>1000</formula>
    </cfRule>
  </conditionalFormatting>
  <conditionalFormatting sqref="B100">
    <cfRule type="cellIs" priority="46" dxfId="653" operator="greaterThan">
      <formula>1000</formula>
    </cfRule>
  </conditionalFormatting>
  <conditionalFormatting sqref="B100">
    <cfRule type="cellIs" priority="45" dxfId="653" operator="greaterThan">
      <formula>1000</formula>
    </cfRule>
  </conditionalFormatting>
  <conditionalFormatting sqref="B100">
    <cfRule type="cellIs" priority="44" dxfId="653" operator="greaterThan">
      <formula>1000</formula>
    </cfRule>
  </conditionalFormatting>
  <conditionalFormatting sqref="B100">
    <cfRule type="cellIs" priority="43" dxfId="653" operator="greaterThan">
      <formula>1000</formula>
    </cfRule>
  </conditionalFormatting>
  <conditionalFormatting sqref="B104">
    <cfRule type="cellIs" priority="42" dxfId="653" operator="greaterThan">
      <formula>1000</formula>
    </cfRule>
  </conditionalFormatting>
  <conditionalFormatting sqref="B104">
    <cfRule type="cellIs" priority="41" dxfId="653" operator="greaterThan">
      <formula>1000</formula>
    </cfRule>
  </conditionalFormatting>
  <conditionalFormatting sqref="B104">
    <cfRule type="cellIs" priority="40" dxfId="653" operator="greaterThan">
      <formula>1000</formula>
    </cfRule>
  </conditionalFormatting>
  <conditionalFormatting sqref="B104">
    <cfRule type="cellIs" priority="39" dxfId="653" operator="greaterThan">
      <formula>1000</formula>
    </cfRule>
  </conditionalFormatting>
  <conditionalFormatting sqref="B108">
    <cfRule type="cellIs" priority="38" dxfId="653" operator="greaterThan">
      <formula>1000</formula>
    </cfRule>
  </conditionalFormatting>
  <conditionalFormatting sqref="B108">
    <cfRule type="cellIs" priority="37" dxfId="653" operator="greaterThan">
      <formula>1000</formula>
    </cfRule>
  </conditionalFormatting>
  <conditionalFormatting sqref="B108">
    <cfRule type="cellIs" priority="36" dxfId="653" operator="greaterThan">
      <formula>1000</formula>
    </cfRule>
  </conditionalFormatting>
  <conditionalFormatting sqref="B108">
    <cfRule type="cellIs" priority="35" dxfId="653" operator="greaterThan">
      <formula>1000</formula>
    </cfRule>
  </conditionalFormatting>
  <conditionalFormatting sqref="B116">
    <cfRule type="cellIs" priority="30" dxfId="653" operator="greaterThan">
      <formula>1000</formula>
    </cfRule>
  </conditionalFormatting>
  <conditionalFormatting sqref="B116">
    <cfRule type="cellIs" priority="29" dxfId="653" operator="greaterThan">
      <formula>1000</formula>
    </cfRule>
  </conditionalFormatting>
  <conditionalFormatting sqref="B116">
    <cfRule type="cellIs" priority="28" dxfId="653" operator="greaterThan">
      <formula>1000</formula>
    </cfRule>
  </conditionalFormatting>
  <conditionalFormatting sqref="B116">
    <cfRule type="cellIs" priority="27" dxfId="653" operator="greaterThan">
      <formula>1000</formula>
    </cfRule>
  </conditionalFormatting>
  <conditionalFormatting sqref="B124">
    <cfRule type="cellIs" priority="22" dxfId="653" operator="greaterThan">
      <formula>1000</formula>
    </cfRule>
  </conditionalFormatting>
  <conditionalFormatting sqref="B124">
    <cfRule type="cellIs" priority="21" dxfId="653" operator="greaterThan">
      <formula>1000</formula>
    </cfRule>
  </conditionalFormatting>
  <conditionalFormatting sqref="B124">
    <cfRule type="cellIs" priority="20" dxfId="653" operator="greaterThan">
      <formula>1000</formula>
    </cfRule>
  </conditionalFormatting>
  <conditionalFormatting sqref="B124">
    <cfRule type="cellIs" priority="19" dxfId="653" operator="greaterThan">
      <formula>1000</formula>
    </cfRule>
  </conditionalFormatting>
  <conditionalFormatting sqref="A52 A48 A44 A40 A36 A32 A28 A24 A20 A16 A12">
    <cfRule type="cellIs" priority="18" dxfId="653" operator="greaterThan">
      <formula>1000</formula>
    </cfRule>
  </conditionalFormatting>
  <conditionalFormatting sqref="A52 A48 A44 A40 A36 A32 A28 A24 A20 A16 A12">
    <cfRule type="cellIs" priority="17" dxfId="653" operator="greaterThan">
      <formula>1000</formula>
    </cfRule>
  </conditionalFormatting>
  <conditionalFormatting sqref="A52 A48 A44 A40 A36 A32 A28 A24 A20 A16 A12">
    <cfRule type="cellIs" priority="16" dxfId="653" operator="greaterThan">
      <formula>1000</formula>
    </cfRule>
  </conditionalFormatting>
  <conditionalFormatting sqref="A88 A84 A80 A76 A72 A68 A64 A60 A56">
    <cfRule type="cellIs" priority="15" dxfId="653" operator="greaterThan">
      <formula>1000</formula>
    </cfRule>
  </conditionalFormatting>
  <conditionalFormatting sqref="A88 A84 A80 A76 A72 A68 A64 A60 A56">
    <cfRule type="cellIs" priority="14" dxfId="653" operator="greaterThan">
      <formula>1000</formula>
    </cfRule>
  </conditionalFormatting>
  <conditionalFormatting sqref="A88 A84 A80 A76 A72 A68 A64 A60 A56">
    <cfRule type="cellIs" priority="13" dxfId="653" operator="greaterThan">
      <formula>1000</formula>
    </cfRule>
  </conditionalFormatting>
  <conditionalFormatting sqref="A124 A120 A116 A112 A108 A104 A100 A96 A92">
    <cfRule type="cellIs" priority="12" dxfId="653" operator="greaterThan">
      <formula>1000</formula>
    </cfRule>
  </conditionalFormatting>
  <conditionalFormatting sqref="A124 A120 A116 A112 A108 A104 A100 A96 A92">
    <cfRule type="cellIs" priority="11" dxfId="653" operator="greaterThan">
      <formula>1000</formula>
    </cfRule>
  </conditionalFormatting>
  <conditionalFormatting sqref="A124 A120 A116 A112 A108 A104 A100 A96 A92">
    <cfRule type="cellIs" priority="10" dxfId="653"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110" zoomScaleSheetLayoutView="110" zoomScalePageLayoutView="0" workbookViewId="0" topLeftCell="A1">
      <selection activeCell="A4" sqref="A4:B4"/>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Kayseri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Kayseri</v>
      </c>
      <c r="B3" s="189"/>
      <c r="C3" s="189"/>
      <c r="D3" s="189"/>
      <c r="E3" s="189"/>
      <c r="F3" s="189"/>
      <c r="G3" s="189"/>
      <c r="H3" s="189"/>
    </row>
    <row r="4" spans="1:8" s="1" customFormat="1" ht="17.25" customHeight="1">
      <c r="A4" s="190" t="str">
        <f>KAPAK!B26</f>
        <v>Yıldız Erkekler</v>
      </c>
      <c r="B4" s="190"/>
      <c r="C4" s="182" t="str">
        <f>KAPAK!B25</f>
        <v>3 km.</v>
      </c>
      <c r="D4" s="182"/>
      <c r="E4" s="42"/>
      <c r="F4" s="183">
        <f>KAPAK!B28</f>
        <v>41924.458333333336</v>
      </c>
      <c r="G4" s="183"/>
      <c r="H4" s="18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450</v>
      </c>
      <c r="D6" s="8" t="str">
        <f>IF(ISERROR(VLOOKUP($C6,'START LİSTE'!$B$6:$F$836,2,0)),"",VLOOKUP($C6,'START LİSTE'!$B$6:$F$836,2,0))</f>
        <v>BEKİR KABADAYI </v>
      </c>
      <c r="E6" s="9" t="str">
        <f>IF(ISERROR(VLOOKUP($C6,'START LİSTE'!$B$6:$F$836,4,0)),"",VLOOKUP($C6,'START LİSTE'!$B$6:$F$836,4,0))</f>
        <v>T</v>
      </c>
      <c r="F6" s="112">
        <f>IF(ISERROR(VLOOKUP($C6,'FERDİ SONUÇ'!$B$6:$H$962,6,0)),"",VLOOKUP($C6,'FERDİ SONUÇ'!$B$6:$H$962,6,0))</f>
        <v>849</v>
      </c>
      <c r="G6" s="43">
        <f>IF(OR(E6="",F6="DQ",F6="DNF",F6="DNS",F6=""),"-",VLOOKUP(C6,'FERDİ SONUÇ'!$B$6:$H$962,7,0))</f>
        <v>1</v>
      </c>
      <c r="H6" s="12"/>
    </row>
    <row r="7" spans="1:8" s="1" customFormat="1" ht="14.25" customHeight="1">
      <c r="A7" s="13"/>
      <c r="B7" s="14"/>
      <c r="C7" s="101">
        <f>IF(A8="","",INDEX('TAKIM KAYIT'!$D$6:$D$125,MATCH(C8,'TAKIM KAYIT'!$D$6:$D$125,0)-1))</f>
        <v>451</v>
      </c>
      <c r="D7" s="15" t="str">
        <f>IF(ISERROR(VLOOKUP($C7,'START LİSTE'!$B$6:$F$836,2,0)),"",VLOOKUP($C7,'START LİSTE'!$B$6:$F$836,2,0))</f>
        <v>OĞUZHAN  FURKAN DEDE</v>
      </c>
      <c r="E7" s="16" t="str">
        <f>IF(ISERROR(VLOOKUP($C7,'START LİSTE'!$B$6:$F$836,4,0)),"",VLOOKUP($C7,'START LİSTE'!$B$6:$F$836,4,0))</f>
        <v>T</v>
      </c>
      <c r="F7" s="113">
        <f>IF(ISERROR(VLOOKUP($C7,'FERDİ SONUÇ'!$B$6:$H$962,6,0)),"",VLOOKUP($C7,'FERDİ SONUÇ'!$B$6:$H$962,6,0))</f>
        <v>909</v>
      </c>
      <c r="G7" s="44">
        <f>IF(OR(E7="",F7="DQ",F7="DNF",F7="DNS",F7=""),"-",VLOOKUP(C7,'FERDİ SONUÇ'!$B$6:$H$962,7,0))</f>
        <v>4</v>
      </c>
      <c r="H7" s="19"/>
    </row>
    <row r="8" spans="1:8" s="1" customFormat="1" ht="14.25" customHeight="1">
      <c r="A8" s="45">
        <f>IF(ISERROR(SMALL('TAKIM KAYIT'!$B$6:$B$125,1)),"",SMALL('TAKIM KAYIT'!$B$6:$B$125,1))</f>
        <v>1</v>
      </c>
      <c r="B8" s="14" t="str">
        <f>IF(A8="","",VLOOKUP(A8,'TAKIM KAYIT'!$B$6:$O$125,2,FALSE))</f>
        <v>ANKARA-BB ANKARASPOR</v>
      </c>
      <c r="C8" s="101">
        <f>IF(A8="","",VLOOKUP(A8,'TAKIM KAYIT'!$B$6:$O$125,3,FALSE))</f>
        <v>452</v>
      </c>
      <c r="D8" s="15" t="str">
        <f>IF(ISERROR(VLOOKUP($C8,'START LİSTE'!$B$6:$F$836,2,0)),"",VLOOKUP($C8,'START LİSTE'!$B$6:$F$836,2,0))</f>
        <v>NİHAT TOKMAK</v>
      </c>
      <c r="E8" s="16" t="str">
        <f>IF(ISERROR(VLOOKUP($C8,'START LİSTE'!$B$6:$F$836,4,0)),"",VLOOKUP($C8,'START LİSTE'!$B$6:$F$836,4,0))</f>
        <v>T</v>
      </c>
      <c r="F8" s="113">
        <f>IF(ISERROR(VLOOKUP($C8,'FERDİ SONUÇ'!$B$6:$H$962,6,0)),"",VLOOKUP($C8,'FERDİ SONUÇ'!$B$6:$H$962,6,0))</f>
        <v>927</v>
      </c>
      <c r="G8" s="44">
        <f>IF(OR(E8="",F8="DQ",F8="DNF",F8="DNS",F8=""),"-",VLOOKUP(C8,'FERDİ SONUÇ'!$B$6:$H$962,7,0))</f>
        <v>6</v>
      </c>
      <c r="H8" s="151">
        <f>IF(A8="","",VLOOKUP(A8,'TAKIM KAYIT'!$B$6:$P$125,13,FALSE))</f>
        <v>7.0004</v>
      </c>
    </row>
    <row r="9" spans="1:8" s="1" customFormat="1" ht="14.25" customHeight="1">
      <c r="A9" s="13"/>
      <c r="B9" s="14"/>
      <c r="C9" s="101">
        <f>IF(A8="","",INDEX('TAKIM KAYIT'!$D$6:$D$125,MATCH(C8,'TAKIM KAYIT'!$D$6:$D$125,0)+1))</f>
        <v>453</v>
      </c>
      <c r="D9" s="15" t="str">
        <f>IF(ISERROR(VLOOKUP($C9,'START LİSTE'!$B$6:$F$836,2,0)),"",VLOOKUP($C9,'START LİSTE'!$B$6:$F$836,2,0))</f>
        <v>OĞUZHAN TAŞDEMİR</v>
      </c>
      <c r="E9" s="16" t="str">
        <f>IF(ISERROR(VLOOKUP($C9,'START LİSTE'!$B$6:$F$836,4,0)),"",VLOOKUP($C9,'START LİSTE'!$B$6:$F$836,4,0))</f>
        <v>T</v>
      </c>
      <c r="F9" s="113">
        <f>IF(ISERROR(VLOOKUP($C9,'FERDİ SONUÇ'!$B$6:$H$962,6,0)),"",VLOOKUP($C9,'FERDİ SONUÇ'!$B$6:$H$962,6,0))</f>
        <v>901</v>
      </c>
      <c r="G9" s="44">
        <f>IF(OR(E9="",F9="DQ",F9="DNF",F9="DNS",F9=""),"-",VLOOKUP(C9,'FERDİ SONUÇ'!$B$6:$H$962,7,0))</f>
        <v>2</v>
      </c>
      <c r="H9" s="19"/>
    </row>
    <row r="10" spans="1:8" ht="14.25" customHeight="1">
      <c r="A10" s="6"/>
      <c r="B10" s="7"/>
      <c r="C10" s="99">
        <f>IF(A12="","",INDEX('TAKIM KAYIT'!$D$6:$D$125,MATCH(C12,'TAKIM KAYIT'!$D$6:$D$125,0)-2))</f>
        <v>430</v>
      </c>
      <c r="D10" s="8" t="str">
        <f>IF(ISERROR(VLOOKUP($C10,'START LİSTE'!$B$6:$F$836,2,0)),"",VLOOKUP($C10,'START LİSTE'!$B$6:$F$836,2,0))</f>
        <v>HÜSEYİN  BOZKUŞ</v>
      </c>
      <c r="E10" s="9" t="str">
        <f>IF(ISERROR(VLOOKUP($C10,'START LİSTE'!$B$6:$F$836,4,0)),"",VLOOKUP($C10,'START LİSTE'!$B$6:$F$836,4,0))</f>
        <v>T</v>
      </c>
      <c r="F10" s="112">
        <f>IF(ISERROR(VLOOKUP($C10,'FERDİ SONUÇ'!$B$6:$H$962,6,0)),"",VLOOKUP($C10,'FERDİ SONUÇ'!$B$6:$H$962,6,0))</f>
        <v>908</v>
      </c>
      <c r="G10" s="43">
        <f>IF(OR(E10="",F10="DQ",F10="DNF",F10="DNS",F10=""),"-",VLOOKUP(C10,'FERDİ SONUÇ'!$B$6:$H$962,7,0))</f>
        <v>3</v>
      </c>
      <c r="H10" s="12"/>
    </row>
    <row r="11" spans="1:8" ht="14.25" customHeight="1">
      <c r="A11" s="13"/>
      <c r="B11" s="14"/>
      <c r="C11" s="101">
        <f>IF(A12="","",INDEX('TAKIM KAYIT'!$D$6:$D$125,MATCH(C12,'TAKIM KAYIT'!$D$6:$D$125,0)-1))</f>
        <v>431</v>
      </c>
      <c r="D11" s="15" t="str">
        <f>IF(ISERROR(VLOOKUP($C11,'START LİSTE'!$B$6:$F$836,2,0)),"",VLOOKUP($C11,'START LİSTE'!$B$6:$F$836,2,0))</f>
        <v>YUNUS  ÖLGER</v>
      </c>
      <c r="E11" s="16" t="str">
        <f>IF(ISERROR(VLOOKUP($C11,'START LİSTE'!$B$6:$F$836,4,0)),"",VLOOKUP($C11,'START LİSTE'!$B$6:$F$836,4,0))</f>
        <v>T</v>
      </c>
      <c r="F11" s="113">
        <f>IF(ISERROR(VLOOKUP($C11,'FERDİ SONUÇ'!$B$6:$H$962,6,0)),"",VLOOKUP($C11,'FERDİ SONUÇ'!$B$6:$H$962,6,0))</f>
        <v>928</v>
      </c>
      <c r="G11" s="44">
        <f>IF(OR(E11="",F11="DQ",F11="DNF",F11="DNS",F11=""),"-",VLOOKUP(C11,'FERDİ SONUÇ'!$B$6:$H$962,7,0))</f>
        <v>7</v>
      </c>
      <c r="H11" s="19"/>
    </row>
    <row r="12" spans="1:8" ht="14.25" customHeight="1">
      <c r="A12" s="45">
        <f>IF(ISERROR(SMALL('TAKIM KAYIT'!$B$6:$B$125,2)),"",SMALL('TAKIM KAYIT'!$B$6:$B$125,2))</f>
        <v>2</v>
      </c>
      <c r="B12" s="14" t="str">
        <f>IF(A12="","",VLOOKUP(A12,'TAKIM KAYIT'!$B$6:$O$125,2,FALSE))</f>
        <v>KONYA EREĞLİ ŞEKER SPOR</v>
      </c>
      <c r="C12" s="101">
        <f>IF(A12="","",VLOOKUP(A12,'TAKIM KAYIT'!$B$6:$O$125,3,FALSE))</f>
        <v>432</v>
      </c>
      <c r="D12" s="15" t="str">
        <f>IF(ISERROR(VLOOKUP($C12,'START LİSTE'!$B$6:$F$836,2,0)),"",VLOOKUP($C12,'START LİSTE'!$B$6:$F$836,2,0))</f>
        <v>NECATİ BİNGÖL</v>
      </c>
      <c r="E12" s="16" t="str">
        <f>IF(ISERROR(VLOOKUP($C12,'START LİSTE'!$B$6:$F$836,4,0)),"",VLOOKUP($C12,'START LİSTE'!$B$6:$F$836,4,0))</f>
        <v>T</v>
      </c>
      <c r="F12" s="113">
        <f>IF(ISERROR(VLOOKUP($C12,'FERDİ SONUÇ'!$B$6:$H$962,6,0)),"",VLOOKUP($C12,'FERDİ SONUÇ'!$B$6:$H$962,6,0))</f>
        <v>941</v>
      </c>
      <c r="G12" s="44">
        <f>IF(OR(E12="",F12="DQ",F12="DNF",F12="DNS",F12=""),"-",VLOOKUP(C12,'FERDİ SONUÇ'!$B$6:$H$962,7,0))</f>
        <v>8</v>
      </c>
      <c r="H12" s="20">
        <f>IF(A12="","",VLOOKUP(A12,'TAKIM KAYIT'!$B$6:$P$125,13,FALSE))</f>
        <v>18.0008</v>
      </c>
    </row>
    <row r="13" spans="1:8" ht="14.25" customHeight="1">
      <c r="A13" s="13"/>
      <c r="B13" s="14"/>
      <c r="C13" s="101">
        <f>IF(A12="","",INDEX('TAKIM KAYIT'!$D$6:$D$125,MATCH(C12,'TAKIM KAYIT'!$D$6:$D$125,0)+1))</f>
        <v>433</v>
      </c>
      <c r="D13" s="15" t="str">
        <f>IF(ISERROR(VLOOKUP($C13,'START LİSTE'!$B$6:$F$836,2,0)),"",VLOOKUP($C13,'START LİSTE'!$B$6:$F$836,2,0))</f>
        <v>ABDURRAHMAN  ASLAN</v>
      </c>
      <c r="E13" s="16" t="str">
        <f>IF(ISERROR(VLOOKUP($C13,'START LİSTE'!$B$6:$F$836,4,0)),"",VLOOKUP($C13,'START LİSTE'!$B$6:$F$836,4,0))</f>
        <v>T</v>
      </c>
      <c r="F13" s="113">
        <f>IF(ISERROR(VLOOKUP($C13,'FERDİ SONUÇ'!$B$6:$H$962,6,0)),"",VLOOKUP($C13,'FERDİ SONUÇ'!$B$6:$H$962,6,0))</f>
        <v>0</v>
      </c>
      <c r="G13" s="44">
        <f>IF(OR(E13="",F13="DQ",F13="DNF",F13="DNS",F13=""),"-",VLOOKUP(C13,'FERDİ SONUÇ'!$B$6:$H$962,7,0))</f>
        <v>20</v>
      </c>
      <c r="H13" s="19"/>
    </row>
    <row r="14" spans="1:8" ht="14.25" customHeight="1">
      <c r="A14" s="6"/>
      <c r="B14" s="7"/>
      <c r="C14" s="99">
        <f>IF(A16="","",INDEX('TAKIM KAYIT'!$D$6:$D$125,MATCH(C16,'TAKIM KAYIT'!$D$6:$D$125,0)-2))</f>
        <v>446</v>
      </c>
      <c r="D14" s="8" t="str">
        <f>IF(ISERROR(VLOOKUP($C14,'START LİSTE'!$B$6:$F$836,2,0)),"",VLOOKUP($C14,'START LİSTE'!$B$6:$F$836,2,0))</f>
        <v>SAVAŞ ÇAKMAK</v>
      </c>
      <c r="E14" s="9" t="str">
        <f>IF(ISERROR(VLOOKUP($C14,'START LİSTE'!$B$6:$F$836,4,0)),"",VLOOKUP($C14,'START LİSTE'!$B$6:$F$836,4,0))</f>
        <v>T</v>
      </c>
      <c r="F14" s="112">
        <f>IF(ISERROR(VLOOKUP($C14,'FERDİ SONUÇ'!$B$6:$H$962,6,0)),"",VLOOKUP($C14,'FERDİ SONUÇ'!$B$6:$H$962,6,0))</f>
        <v>924</v>
      </c>
      <c r="G14" s="43">
        <f>IF(OR(E14="",F14="DQ",F14="DNF",F14="DNS",F14=""),"-",VLOOKUP(C14,'FERDİ SONUÇ'!$B$6:$H$962,7,0))</f>
        <v>5</v>
      </c>
      <c r="H14" s="12"/>
    </row>
    <row r="15" spans="1:8" ht="14.25" customHeight="1">
      <c r="A15" s="13"/>
      <c r="B15" s="14"/>
      <c r="C15" s="101">
        <f>IF(A16="","",INDEX('TAKIM KAYIT'!$D$6:$D$125,MATCH(C16,'TAKIM KAYIT'!$D$6:$D$125,0)-1))</f>
        <v>447</v>
      </c>
      <c r="D15" s="15" t="str">
        <f>IF(ISERROR(VLOOKUP($C15,'START LİSTE'!$B$6:$F$836,2,0)),"",VLOOKUP($C15,'START LİSTE'!$B$6:$F$836,2,0))</f>
        <v>FATİH SABAN</v>
      </c>
      <c r="E15" s="16" t="str">
        <f>IF(ISERROR(VLOOKUP($C15,'START LİSTE'!$B$6:$F$836,4,0)),"",VLOOKUP($C15,'START LİSTE'!$B$6:$F$836,4,0))</f>
        <v>T</v>
      </c>
      <c r="F15" s="113">
        <f>IF(ISERROR(VLOOKUP($C15,'FERDİ SONUÇ'!$B$6:$H$962,6,0)),"",VLOOKUP($C15,'FERDİ SONUÇ'!$B$6:$H$962,6,0))</f>
        <v>0</v>
      </c>
      <c r="G15" s="44">
        <f>IF(OR(E15="",F15="DQ",F15="DNF",F15="DNS",F15=""),"-",VLOOKUP(C15,'FERDİ SONUÇ'!$B$6:$H$962,7,0))</f>
        <v>12</v>
      </c>
      <c r="H15" s="19"/>
    </row>
    <row r="16" spans="1:8" ht="14.25" customHeight="1">
      <c r="A16" s="45">
        <f>IF(ISERROR(SMALL('TAKIM KAYIT'!$B$6:$B$125,3)),"",SMALL('TAKIM KAYIT'!$B$6:$B$125,3))</f>
        <v>3</v>
      </c>
      <c r="B16" s="14" t="str">
        <f>IF(A16="","",VLOOKUP(A16,'TAKIM KAYIT'!$B$6:$O$125,2,FALSE))</f>
        <v>NEVŞEHİR 100.YIL ÜLFET BAŞER İO SP. KLB.</v>
      </c>
      <c r="C16" s="101">
        <f>IF(A16="","",VLOOKUP(A16,'TAKIM KAYIT'!$B$6:$O$125,3,FALSE))</f>
        <v>448</v>
      </c>
      <c r="D16" s="15" t="str">
        <f>IF(ISERROR(VLOOKUP($C16,'START LİSTE'!$B$6:$F$836,2,0)),"",VLOOKUP($C16,'START LİSTE'!$B$6:$F$836,2,0))</f>
        <v>FURKAN AÇIKGÖZ</v>
      </c>
      <c r="E16" s="16" t="str">
        <f>IF(ISERROR(VLOOKUP($C16,'START LİSTE'!$B$6:$F$836,4,0)),"",VLOOKUP($C16,'START LİSTE'!$B$6:$F$836,4,0))</f>
        <v>T</v>
      </c>
      <c r="F16" s="113">
        <f>IF(ISERROR(VLOOKUP($C16,'FERDİ SONUÇ'!$B$6:$H$962,6,0)),"",VLOOKUP($C16,'FERDİ SONUÇ'!$B$6:$H$962,6,0))</f>
        <v>0</v>
      </c>
      <c r="G16" s="44">
        <f>IF(OR(E16="",F16="DQ",F16="DNF",F16="DNS",F16=""),"-",VLOOKUP(C16,'FERDİ SONUÇ'!$B$6:$H$962,7,0))</f>
        <v>15</v>
      </c>
      <c r="H16" s="20">
        <f>IF(A16="","",VLOOKUP(A16,'TAKIM KAYIT'!$B$6:$P$125,13,FALSE))</f>
        <v>32.0015</v>
      </c>
    </row>
    <row r="17" spans="1:8" ht="14.25" customHeight="1">
      <c r="A17" s="13"/>
      <c r="B17" s="14"/>
      <c r="C17" s="101">
        <f>IF(A16="","",INDEX('TAKIM KAYIT'!$D$6:$D$125,MATCH(C16,'TAKIM KAYIT'!$D$6:$D$125,0)+1))</f>
        <v>449</v>
      </c>
      <c r="D17" s="15" t="str">
        <f>IF(ISERROR(VLOOKUP($C17,'START LİSTE'!$B$6:$F$836,2,0)),"",VLOOKUP($C17,'START LİSTE'!$B$6:$F$836,2,0))</f>
        <v>MUSTAFA SOYLU</v>
      </c>
      <c r="E17" s="16" t="str">
        <f>IF(ISERROR(VLOOKUP($C17,'START LİSTE'!$B$6:$F$836,4,0)),"",VLOOKUP($C17,'START LİSTE'!$B$6:$F$836,4,0))</f>
        <v>T</v>
      </c>
      <c r="F17" s="113">
        <f>IF(ISERROR(VLOOKUP($C17,'FERDİ SONUÇ'!$B$6:$H$962,6,0)),"",VLOOKUP($C17,'FERDİ SONUÇ'!$B$6:$H$962,6,0))</f>
      </c>
      <c r="G17" s="44" t="str">
        <f>IF(OR(E17="",F17="DQ",F17="DNF",F17="DNS",F17=""),"-",VLOOKUP(C17,'FERDİ SONUÇ'!$B$6:$H$962,7,0))</f>
        <v>-</v>
      </c>
      <c r="H17" s="19"/>
    </row>
    <row r="18" spans="1:8" ht="14.25" customHeight="1">
      <c r="A18" s="6"/>
      <c r="B18" s="7"/>
      <c r="C18" s="99">
        <f>IF(A20="","",INDEX('TAKIM KAYIT'!$D$6:$D$125,MATCH(C20,'TAKIM KAYIT'!$D$6:$D$125,0)-2))</f>
        <v>454</v>
      </c>
      <c r="D18" s="8" t="str">
        <f>IF(ISERROR(VLOOKUP($C18,'START LİSTE'!$B$6:$F$836,2,0)),"",VLOOKUP($C18,'START LİSTE'!$B$6:$F$836,2,0))</f>
        <v>EDİP ERÇİN</v>
      </c>
      <c r="E18" s="9" t="str">
        <f>IF(ISERROR(VLOOKUP($C18,'START LİSTE'!$B$6:$F$836,4,0)),"",VLOOKUP($C18,'START LİSTE'!$B$6:$F$836,4,0))</f>
        <v>T</v>
      </c>
      <c r="F18" s="112">
        <f>IF(ISERROR(VLOOKUP($C18,'FERDİ SONUÇ'!$B$6:$H$962,6,0)),"",VLOOKUP($C18,'FERDİ SONUÇ'!$B$6:$H$962,6,0))</f>
        <v>1004</v>
      </c>
      <c r="G18" s="11">
        <f>IF(OR(E18="",F18="DQ",F18="DNF",F18="DNS",F18=""),"-",VLOOKUP(C18,'FERDİ SONUÇ'!$B$6:$H$962,7,0))</f>
        <v>10</v>
      </c>
      <c r="H18" s="12"/>
    </row>
    <row r="19" spans="1:8" ht="14.25" customHeight="1">
      <c r="A19" s="13"/>
      <c r="B19" s="14"/>
      <c r="C19" s="101">
        <f>IF(A20="","",INDEX('TAKIM KAYIT'!$D$6:$D$125,MATCH(C20,'TAKIM KAYIT'!$D$6:$D$125,0)-1))</f>
        <v>455</v>
      </c>
      <c r="D19" s="15" t="str">
        <f>IF(ISERROR(VLOOKUP($C19,'START LİSTE'!$B$6:$F$836,2,0)),"",VLOOKUP($C19,'START LİSTE'!$B$6:$F$836,2,0))</f>
        <v>FURKAN GÜVERCİNLİ</v>
      </c>
      <c r="E19" s="16" t="str">
        <f>IF(ISERROR(VLOOKUP($C19,'START LİSTE'!$B$6:$F$836,4,0)),"",VLOOKUP($C19,'START LİSTE'!$B$6:$F$836,4,0))</f>
        <v>T</v>
      </c>
      <c r="F19" s="113">
        <f>IF(ISERROR(VLOOKUP($C19,'FERDİ SONUÇ'!$B$6:$H$962,6,0)),"",VLOOKUP($C19,'FERDİ SONUÇ'!$B$6:$H$962,6,0))</f>
        <v>0</v>
      </c>
      <c r="G19" s="18">
        <f>IF(OR(E19="",F19="DQ",F19="DNF",F19="DNS",F19=""),"-",VLOOKUP(C19,'FERDİ SONUÇ'!$B$6:$H$962,7,0))</f>
        <v>17</v>
      </c>
      <c r="H19" s="19"/>
    </row>
    <row r="20" spans="1:8" ht="14.25" customHeight="1">
      <c r="A20" s="45">
        <f>IF(ISERROR(SMALL('TAKIM KAYIT'!$B$6:$B$125,4)),"",SMALL('TAKIM KAYIT'!$B$6:$B$125,4))</f>
        <v>4</v>
      </c>
      <c r="B20" s="14" t="str">
        <f>IF(A20="","",VLOOKUP(A20,'TAKIM KAYIT'!$B$6:$O$125,2,FALSE))</f>
        <v>NEVŞEHİR GHSİM S.K</v>
      </c>
      <c r="C20" s="101">
        <f>IF(A20="","",VLOOKUP(A20,'TAKIM KAYIT'!$B$6:$O$125,3,FALSE))</f>
        <v>456</v>
      </c>
      <c r="D20" s="15" t="str">
        <f>IF(ISERROR(VLOOKUP($C20,'START LİSTE'!$B$6:$F$836,2,0)),"",VLOOKUP($C20,'START LİSTE'!$B$6:$F$836,2,0))</f>
        <v>ZEKERYA KOCATEPE</v>
      </c>
      <c r="E20" s="16" t="str">
        <f>IF(ISERROR(VLOOKUP($C20,'START LİSTE'!$B$6:$F$836,4,0)),"",VLOOKUP($C20,'START LİSTE'!$B$6:$F$836,4,0))</f>
        <v>T</v>
      </c>
      <c r="F20" s="113">
        <f>IF(ISERROR(VLOOKUP($C20,'FERDİ SONUÇ'!$B$6:$H$962,6,0)),"",VLOOKUP($C20,'FERDİ SONUÇ'!$B$6:$H$962,6,0))</f>
        <v>0</v>
      </c>
      <c r="G20" s="18">
        <f>IF(OR(E20="",F20="DQ",F20="DNF",F20="DNS",F20=""),"-",VLOOKUP(C20,'FERDİ SONUÇ'!$B$6:$H$962,7,0))</f>
        <v>19</v>
      </c>
      <c r="H20" s="151">
        <f>IF(A20="","",VLOOKUP(A20,'TAKIM KAYIT'!$B$6:$P$125,13,FALSE))</f>
        <v>46.0019</v>
      </c>
    </row>
    <row r="21" spans="1:8" ht="14.25" customHeight="1">
      <c r="A21" s="13"/>
      <c r="B21" s="14"/>
      <c r="C21" s="101">
        <f>IF(A20="","",INDEX('TAKIM KAYIT'!$D$6:$D$125,MATCH(C20,'TAKIM KAYIT'!$D$6:$D$125,0)+1))</f>
        <v>457</v>
      </c>
      <c r="D21" s="15" t="str">
        <f>IF(ISERROR(VLOOKUP($C21,'START LİSTE'!$B$6:$F$836,2,0)),"",VLOOKUP($C21,'START LİSTE'!$B$6:$F$836,2,0))</f>
        <v>HAKAN KÖSTEKÇİ</v>
      </c>
      <c r="E21" s="16" t="str">
        <f>IF(ISERROR(VLOOKUP($C21,'START LİSTE'!$B$6:$F$836,4,0)),"",VLOOKUP($C21,'START LİSTE'!$B$6:$F$836,4,0))</f>
        <v>T</v>
      </c>
      <c r="F21" s="113">
        <f>IF(ISERROR(VLOOKUP($C21,'FERDİ SONUÇ'!$B$6:$H$962,6,0)),"",VLOOKUP($C21,'FERDİ SONUÇ'!$B$6:$H$962,6,0))</f>
      </c>
      <c r="G21" s="18" t="str">
        <f>IF(OR(E21="",F21="DQ",F21="DNF",F21="DNS",F21=""),"-",VLOOKUP(C21,'FERDİ SONUÇ'!$B$6:$H$962,7,0))</f>
        <v>-</v>
      </c>
      <c r="H21" s="19"/>
    </row>
    <row r="22" spans="1:8" ht="14.25" customHeight="1">
      <c r="A22" s="6"/>
      <c r="B22" s="7"/>
      <c r="C22" s="99">
        <f>IF(A24="","",INDEX('TAKIM KAYIT'!$D$6:$D$125,MATCH(C24,'TAKIM KAYIT'!$D$6:$D$125,0)-2))</f>
        <v>462</v>
      </c>
      <c r="D22" s="8" t="str">
        <f>IF(ISERROR(VLOOKUP($C22,'START LİSTE'!$B$6:$F$836,2,0)),"",VLOOKUP($C22,'START LİSTE'!$B$6:$F$836,2,0))</f>
        <v>OĞUZHAN OLKUN</v>
      </c>
      <c r="E22" s="9" t="str">
        <f>IF(ISERROR(VLOOKUP($C22,'START LİSTE'!$B$6:$F$836,4,0)),"",VLOOKUP($C22,'START LİSTE'!$B$6:$F$836,4,0))</f>
        <v>T</v>
      </c>
      <c r="F22" s="112">
        <f>IF(ISERROR(VLOOKUP($C22,'FERDİ SONUÇ'!$B$6:$H$962,6,0)),"",VLOOKUP($C22,'FERDİ SONUÇ'!$B$6:$H$962,6,0))</f>
        <v>957</v>
      </c>
      <c r="G22" s="11">
        <f>IF(OR(E22="",F22="DQ",F22="DNF",F22="DNS",F22=""),"-",VLOOKUP(C22,'FERDİ SONUÇ'!$B$6:$H$962,7,0))</f>
        <v>9</v>
      </c>
      <c r="H22" s="12"/>
    </row>
    <row r="23" spans="1:8" ht="14.25" customHeight="1">
      <c r="A23" s="13"/>
      <c r="B23" s="14"/>
      <c r="C23" s="101">
        <f>IF(A24="","",INDEX('TAKIM KAYIT'!$D$6:$D$125,MATCH(C24,'TAKIM KAYIT'!$D$6:$D$125,0)-1))</f>
        <v>463</v>
      </c>
      <c r="D23" s="15" t="str">
        <f>IF(ISERROR(VLOOKUP($C23,'START LİSTE'!$B$6:$F$836,2,0)),"",VLOOKUP($C23,'START LİSTE'!$B$6:$F$836,2,0))</f>
        <v>YUSUF PEKTAŞ</v>
      </c>
      <c r="E23" s="16" t="str">
        <f>IF(ISERROR(VLOOKUP($C23,'START LİSTE'!$B$6:$F$836,4,0)),"",VLOOKUP($C23,'START LİSTE'!$B$6:$F$836,4,0))</f>
        <v>T</v>
      </c>
      <c r="F23" s="113">
        <f>IF(ISERROR(VLOOKUP($C23,'FERDİ SONUÇ'!$B$6:$H$962,6,0)),"",VLOOKUP($C23,'FERDİ SONUÇ'!$B$6:$H$962,6,0))</f>
        <v>0</v>
      </c>
      <c r="G23" s="18">
        <f>IF(OR(E23="",F23="DQ",F23="DNF",F23="DNS",F23=""),"-",VLOOKUP(C23,'FERDİ SONUÇ'!$B$6:$H$962,7,0))</f>
        <v>21</v>
      </c>
      <c r="H23" s="19"/>
    </row>
    <row r="24" spans="1:8" ht="14.25" customHeight="1">
      <c r="A24" s="45">
        <f>IF(ISERROR(SMALL('TAKIM KAYIT'!$B$6:$B$125,5)),"",SMALL('TAKIM KAYIT'!$B$6:$B$125,5))</f>
        <v>5</v>
      </c>
      <c r="B24" s="14" t="str">
        <f>IF(A24="","",VLOOKUP(A24,'TAKIM KAYIT'!$B$6:$O$125,2,FALSE))</f>
        <v>ESKİŞEHİR BÜYÜKŞEHİR G.S.K</v>
      </c>
      <c r="C24" s="101">
        <f>IF(A24="","",VLOOKUP(A24,'TAKIM KAYIT'!$B$6:$O$125,3,FALSE))</f>
        <v>464</v>
      </c>
      <c r="D24" s="15" t="str">
        <f>IF(ISERROR(VLOOKUP($C24,'START LİSTE'!$B$6:$F$836,2,0)),"",VLOOKUP($C24,'START LİSTE'!$B$6:$F$836,2,0))</f>
        <v>HÜSEYİN KARACA</v>
      </c>
      <c r="E24" s="16" t="str">
        <f>IF(ISERROR(VLOOKUP($C24,'START LİSTE'!$B$6:$F$836,4,0)),"",VLOOKUP($C24,'START LİSTE'!$B$6:$F$836,4,0))</f>
        <v>T</v>
      </c>
      <c r="F24" s="113">
        <f>IF(ISERROR(VLOOKUP($C24,'FERDİ SONUÇ'!$B$6:$H$962,6,0)),"",VLOOKUP($C24,'FERDİ SONUÇ'!$B$6:$H$962,6,0))</f>
        <v>0</v>
      </c>
      <c r="G24" s="18">
        <f>IF(OR(E24="",F24="DQ",F24="DNF",F24="DNS",F24=""),"-",VLOOKUP(C24,'FERDİ SONUÇ'!$B$6:$H$962,7,0))</f>
        <v>22</v>
      </c>
      <c r="H24" s="151">
        <f>IF(A24="","",VLOOKUP(A24,'TAKIM KAYIT'!$B$6:$P$125,13,FALSE))</f>
        <v>52.0022</v>
      </c>
    </row>
    <row r="25" spans="1:8" ht="14.25" customHeight="1">
      <c r="A25" s="13"/>
      <c r="B25" s="14"/>
      <c r="C25" s="101">
        <f>IF(A24="","",INDEX('TAKIM KAYIT'!$D$6:$D$125,MATCH(C24,'TAKIM KAYIT'!$D$6:$D$125,0)+1))</f>
        <v>0</v>
      </c>
      <c r="D25" s="15">
        <f>IF(ISERROR(VLOOKUP($C25,'START LİSTE'!$B$6:$F$836,2,0)),"",VLOOKUP($C25,'START LİSTE'!$B$6:$F$836,2,0))</f>
      </c>
      <c r="E25" s="16">
        <f>IF(ISERROR(VLOOKUP($C25,'START LİSTE'!$B$6:$F$836,4,0)),"",VLOOKUP($C25,'START LİSTE'!$B$6:$F$836,4,0))</f>
      </c>
      <c r="F25" s="113">
        <f>IF(ISERROR(VLOOKUP($C25,'FERDİ SONUÇ'!$B$6:$H$962,6,0)),"",VLOOKUP($C25,'FERDİ SONUÇ'!$B$6:$H$962,6,0))</f>
      </c>
      <c r="G25" s="18" t="str">
        <f>IF(OR(E25="",F25="DQ",F25="DNF",F25="DNS",F25=""),"-",VLOOKUP(C25,'FERDİ SONUÇ'!$B$6:$H$962,7,0))</f>
        <v>-</v>
      </c>
      <c r="H25" s="19"/>
    </row>
    <row r="26" spans="1:8" ht="14.25" customHeight="1">
      <c r="A26" s="6"/>
      <c r="B26" s="7"/>
      <c r="C26" s="99">
        <f>IF(A28="","",INDEX('TAKIM KAYIT'!$D$6:$D$125,MATCH(C28,'TAKIM KAYIT'!$D$6:$D$125,0)-2))</f>
        <v>458</v>
      </c>
      <c r="D26" s="8" t="str">
        <f>IF(ISERROR(VLOOKUP($C26,'START LİSTE'!$B$6:$F$836,2,0)),"",VLOOKUP($C26,'START LİSTE'!$B$6:$F$836,2,0))</f>
        <v>AHAT KARATAŞ</v>
      </c>
      <c r="E26" s="9" t="str">
        <f>IF(ISERROR(VLOOKUP($C26,'START LİSTE'!$B$6:$F$836,4,0)),"",VLOOKUP($C26,'START LİSTE'!$B$6:$F$836,4,0))</f>
        <v>T</v>
      </c>
      <c r="F26" s="112">
        <f>IF(ISERROR(VLOOKUP($C26,'FERDİ SONUÇ'!$B$6:$H$962,6,0)),"",VLOOKUP($C26,'FERDİ SONUÇ'!$B$6:$H$962,6,0))</f>
        <v>0</v>
      </c>
      <c r="G26" s="11">
        <f>IF(OR(E26="",F26="DQ",F26="DNF",F26="DNS",F26=""),"-",VLOOKUP(C26,'FERDİ SONUÇ'!$B$6:$H$962,7,0))</f>
        <v>23</v>
      </c>
      <c r="H26" s="12"/>
    </row>
    <row r="27" spans="1:8" ht="14.25" customHeight="1">
      <c r="A27" s="13"/>
      <c r="B27" s="14"/>
      <c r="C27" s="101">
        <f>IF(A28="","",INDEX('TAKIM KAYIT'!$D$6:$D$125,MATCH(C28,'TAKIM KAYIT'!$D$6:$D$125,0)-1))</f>
        <v>459</v>
      </c>
      <c r="D27" s="15" t="str">
        <f>IF(ISERROR(VLOOKUP($C27,'START LİSTE'!$B$6:$F$836,2,0)),"",VLOOKUP($C27,'START LİSTE'!$B$6:$F$836,2,0))</f>
        <v>EMRE DOĞAN</v>
      </c>
      <c r="E27" s="16" t="str">
        <f>IF(ISERROR(VLOOKUP($C27,'START LİSTE'!$B$6:$F$836,4,0)),"",VLOOKUP($C27,'START LİSTE'!$B$6:$F$836,4,0))</f>
        <v>T</v>
      </c>
      <c r="F27" s="113">
        <f>IF(ISERROR(VLOOKUP($C27,'FERDİ SONUÇ'!$B$6:$H$962,6,0)),"",VLOOKUP($C27,'FERDİ SONUÇ'!$B$6:$H$962,6,0))</f>
        <v>0</v>
      </c>
      <c r="G27" s="18">
        <f>IF(OR(E27="",F27="DQ",F27="DNF",F27="DNS",F27=""),"-",VLOOKUP(C27,'FERDİ SONUÇ'!$B$6:$H$962,7,0))</f>
        <v>16</v>
      </c>
      <c r="H27" s="19"/>
    </row>
    <row r="28" spans="1:8" ht="14.25" customHeight="1">
      <c r="A28" s="45">
        <f>IF(ISERROR(SMALL('TAKIM KAYIT'!$B$6:$B$125,6)),"",SMALL('TAKIM KAYIT'!$B$6:$B$125,6))</f>
        <v>6</v>
      </c>
      <c r="B28" s="14" t="str">
        <f>IF(A28="","",VLOOKUP(A28,'TAKIM KAYIT'!$B$6:$O$125,2,FALSE))</f>
        <v>SPORCU EĞİTİM MERKEZİGENÇLİK VE SPOR KÜLÜBÜ</v>
      </c>
      <c r="C28" s="101">
        <f>IF(A28="","",VLOOKUP(A28,'TAKIM KAYIT'!$B$6:$O$125,3,FALSE))</f>
        <v>460</v>
      </c>
      <c r="D28" s="15" t="str">
        <f>IF(ISERROR(VLOOKUP($C28,'START LİSTE'!$B$6:$F$836,2,0)),"",VLOOKUP($C28,'START LİSTE'!$B$6:$F$836,2,0))</f>
        <v>UMUT BİNİCİ</v>
      </c>
      <c r="E28" s="16" t="str">
        <f>IF(ISERROR(VLOOKUP($C28,'START LİSTE'!$B$6:$F$836,4,0)),"",VLOOKUP($C28,'START LİSTE'!$B$6:$F$836,4,0))</f>
        <v>T</v>
      </c>
      <c r="F28" s="113">
        <f>IF(ISERROR(VLOOKUP($C28,'FERDİ SONUÇ'!$B$6:$H$962,6,0)),"",VLOOKUP($C28,'FERDİ SONUÇ'!$B$6:$H$962,6,0))</f>
        <v>0</v>
      </c>
      <c r="G28" s="18">
        <f>IF(OR(E28="",F28="DQ",F28="DNF",F28="DNS",F28=""),"-",VLOOKUP(C28,'FERDİ SONUÇ'!$B$6:$H$962,7,0))</f>
        <v>13</v>
      </c>
      <c r="H28" s="151">
        <f>IF(A28="","",VLOOKUP(A28,'TAKIM KAYIT'!$B$6:$P$125,13,FALSE))</f>
        <v>52.0023</v>
      </c>
    </row>
    <row r="29" spans="1:8" ht="14.25" customHeight="1">
      <c r="A29" s="13"/>
      <c r="B29" s="14"/>
      <c r="C29" s="101">
        <f>IF(A28="","",INDEX('TAKIM KAYIT'!$D$6:$D$125,MATCH(C28,'TAKIM KAYIT'!$D$6:$D$125,0)+1))</f>
        <v>0</v>
      </c>
      <c r="D29" s="15">
        <f>IF(ISERROR(VLOOKUP($C29,'START LİSTE'!$B$6:$F$836,2,0)),"",VLOOKUP($C29,'START LİSTE'!$B$6:$F$836,2,0))</f>
      </c>
      <c r="E29" s="16">
        <f>IF(ISERROR(VLOOKUP($C29,'START LİSTE'!$B$6:$F$836,4,0)),"",VLOOKUP($C29,'START LİSTE'!$B$6:$F$836,4,0))</f>
      </c>
      <c r="F29" s="113">
        <f>IF(ISERROR(VLOOKUP($C29,'FERDİ SONUÇ'!$B$6:$H$962,6,0)),"",VLOOKUP($C29,'FERDİ SONUÇ'!$B$6:$H$962,6,0))</f>
      </c>
      <c r="G29" s="18" t="str">
        <f>IF(OR(E29="",F29="DQ",F29="DNF",F29="DNS",F29=""),"-",VLOOKUP(C29,'FERDİ SONUÇ'!$B$6:$H$962,7,0))</f>
        <v>-</v>
      </c>
      <c r="H29" s="19"/>
    </row>
    <row r="30" spans="1:8" ht="14.25" customHeight="1">
      <c r="A30" s="6"/>
      <c r="B30" s="7"/>
      <c r="C30" s="99">
        <f>IF(A32="","",INDEX('TAKIM KAYIT'!$D$6:$D$125,MATCH(C32,'TAKIM KAYIT'!$D$6:$D$125,0)-2))</f>
        <v>434</v>
      </c>
      <c r="D30" s="8" t="str">
        <f>IF(ISERROR(VLOOKUP($C30,'START LİSTE'!$B$6:$F$836,2,0)),"",VLOOKUP($C30,'START LİSTE'!$B$6:$F$836,2,0))</f>
        <v>BURAK YİĞİT</v>
      </c>
      <c r="E30" s="9" t="str">
        <f>IF(ISERROR(VLOOKUP($C30,'START LİSTE'!$B$6:$F$836,4,0)),"",VLOOKUP($C30,'START LİSTE'!$B$6:$F$836,4,0))</f>
        <v>T</v>
      </c>
      <c r="F30" s="112">
        <f>IF(ISERROR(VLOOKUP($C30,'FERDİ SONUÇ'!$B$6:$H$962,6,0)),"",VLOOKUP($C30,'FERDİ SONUÇ'!$B$6:$H$962,6,0))</f>
        <v>0</v>
      </c>
      <c r="G30" s="11">
        <f>IF(OR(E30="",F30="DQ",F30="DNF",F30="DNS",F30=""),"-",VLOOKUP(C30,'FERDİ SONUÇ'!$B$6:$H$962,7,0))</f>
        <v>18</v>
      </c>
      <c r="H30" s="12"/>
    </row>
    <row r="31" spans="1:8" ht="14.25" customHeight="1">
      <c r="A31" s="13"/>
      <c r="B31" s="14"/>
      <c r="C31" s="101">
        <f>IF(A32="","",INDEX('TAKIM KAYIT'!$D$6:$D$125,MATCH(C32,'TAKIM KAYIT'!$D$6:$D$125,0)-1))</f>
        <v>435</v>
      </c>
      <c r="D31" s="15" t="str">
        <f>IF(ISERROR(VLOOKUP($C31,'START LİSTE'!$B$6:$F$836,2,0)),"",VLOOKUP($C31,'START LİSTE'!$B$6:$F$836,2,0))</f>
        <v>EYÜP TUMBUL</v>
      </c>
      <c r="E31" s="16" t="str">
        <f>IF(ISERROR(VLOOKUP($C31,'START LİSTE'!$B$6:$F$836,4,0)),"",VLOOKUP($C31,'START LİSTE'!$B$6:$F$836,4,0))</f>
        <v>T</v>
      </c>
      <c r="F31" s="113">
        <f>IF(ISERROR(VLOOKUP($C31,'FERDİ SONUÇ'!$B$6:$H$962,6,0)),"",VLOOKUP($C31,'FERDİ SONUÇ'!$B$6:$H$962,6,0))</f>
        <v>0</v>
      </c>
      <c r="G31" s="18">
        <f>IF(OR(E31="",F31="DQ",F31="DNF",F31="DNS",F31=""),"-",VLOOKUP(C31,'FERDİ SONUÇ'!$B$6:$H$962,7,0))</f>
        <v>28</v>
      </c>
      <c r="H31" s="19"/>
    </row>
    <row r="32" spans="1:8" ht="14.25" customHeight="1">
      <c r="A32" s="45">
        <f>IF(ISERROR(SMALL('TAKIM KAYIT'!$B$6:$B$125,7)),"",SMALL('TAKIM KAYIT'!$B$6:$B$125,7))</f>
        <v>7</v>
      </c>
      <c r="B32" s="14" t="str">
        <f>IF(A32="","",VLOOKUP(A32,'TAKIM KAYIT'!$B$6:$O$125,2,FALSE))</f>
        <v>SİVAS-EĞİTİM SPOR</v>
      </c>
      <c r="C32" s="101">
        <f>IF(A32="","",VLOOKUP(A32,'TAKIM KAYIT'!$B$6:$O$125,3,FALSE))</f>
        <v>436</v>
      </c>
      <c r="D32" s="15" t="str">
        <f>IF(ISERROR(VLOOKUP($C32,'START LİSTE'!$B$6:$F$836,2,0)),"",VLOOKUP($C32,'START LİSTE'!$B$6:$F$836,2,0))</f>
        <v>EMRE ÜNALAN</v>
      </c>
      <c r="E32" s="16" t="str">
        <f>IF(ISERROR(VLOOKUP($C32,'START LİSTE'!$B$6:$F$836,4,0)),"",VLOOKUP($C32,'START LİSTE'!$B$6:$F$836,4,0))</f>
        <v>T</v>
      </c>
      <c r="F32" s="113">
        <f>IF(ISERROR(VLOOKUP($C32,'FERDİ SONUÇ'!$B$6:$H$962,6,0)),"",VLOOKUP($C32,'FERDİ SONUÇ'!$B$6:$H$962,6,0))</f>
        <v>1007</v>
      </c>
      <c r="G32" s="18">
        <f>IF(OR(E32="",F32="DQ",F32="DNF",F32="DNS",F32=""),"-",VLOOKUP(C32,'FERDİ SONUÇ'!$B$6:$H$962,7,0))</f>
        <v>11</v>
      </c>
      <c r="H32" s="151">
        <f>IF(A32="","",VLOOKUP(A32,'TAKIM KAYIT'!$B$6:$P$125,13,FALSE))</f>
        <v>53.0024</v>
      </c>
    </row>
    <row r="33" spans="1:8" ht="14.25" customHeight="1">
      <c r="A33" s="13"/>
      <c r="B33" s="14"/>
      <c r="C33" s="101">
        <f>IF(A32="","",INDEX('TAKIM KAYIT'!$D$6:$D$125,MATCH(C32,'TAKIM KAYIT'!$D$6:$D$125,0)+1))</f>
        <v>437</v>
      </c>
      <c r="D33" s="15" t="str">
        <f>IF(ISERROR(VLOOKUP($C33,'START LİSTE'!$B$6:$F$836,2,0)),"",VLOOKUP($C33,'START LİSTE'!$B$6:$F$836,2,0))</f>
        <v>SERKAN KOÇAN</v>
      </c>
      <c r="E33" s="16" t="str">
        <f>IF(ISERROR(VLOOKUP($C33,'START LİSTE'!$B$6:$F$836,4,0)),"",VLOOKUP($C33,'START LİSTE'!$B$6:$F$836,4,0))</f>
        <v>T</v>
      </c>
      <c r="F33" s="113">
        <f>IF(ISERROR(VLOOKUP($C33,'FERDİ SONUÇ'!$B$6:$H$962,6,0)),"",VLOOKUP($C33,'FERDİ SONUÇ'!$B$6:$H$962,6,0))</f>
        <v>0</v>
      </c>
      <c r="G33" s="18">
        <f>IF(OR(E33="",F33="DQ",F33="DNF",F33="DNS",F33=""),"-",VLOOKUP(C33,'FERDİ SONUÇ'!$B$6:$H$962,7,0))</f>
        <v>24</v>
      </c>
      <c r="H33" s="19"/>
    </row>
    <row r="34" spans="1:8" ht="14.25" customHeight="1">
      <c r="A34" s="6"/>
      <c r="B34" s="7"/>
      <c r="C34" s="99">
        <f>IF(A36="","",INDEX('TAKIM KAYIT'!$D$6:$D$125,MATCH(C36,'TAKIM KAYIT'!$D$6:$D$125,0)-2))</f>
        <v>442</v>
      </c>
      <c r="D34" s="8" t="str">
        <f>IF(ISERROR(VLOOKUP($C34,'START LİSTE'!$B$6:$F$836,2,0)),"",VLOOKUP($C34,'START LİSTE'!$B$6:$F$836,2,0))</f>
        <v>FEVZİ ERSAN</v>
      </c>
      <c r="E34" s="9" t="str">
        <f>IF(ISERROR(VLOOKUP($C34,'START LİSTE'!$B$6:$F$836,4,0)),"",VLOOKUP($C34,'START LİSTE'!$B$6:$F$836,4,0))</f>
        <v>T</v>
      </c>
      <c r="F34" s="112">
        <f>IF(ISERROR(VLOOKUP($C34,'FERDİ SONUÇ'!$B$6:$H$962,6,0)),"",VLOOKUP($C34,'FERDİ SONUÇ'!$B$6:$H$962,6,0))</f>
        <v>0</v>
      </c>
      <c r="G34" s="11">
        <f>IF(OR(E34="",F34="DQ",F34="DNF",F34="DNS",F34=""),"-",VLOOKUP(C34,'FERDİ SONUÇ'!$B$6:$H$962,7,0))</f>
        <v>27</v>
      </c>
      <c r="H34" s="12"/>
    </row>
    <row r="35" spans="1:8" ht="14.25" customHeight="1">
      <c r="A35" s="13"/>
      <c r="B35" s="14"/>
      <c r="C35" s="101">
        <f>IF(A36="","",INDEX('TAKIM KAYIT'!$D$6:$D$125,MATCH(C36,'TAKIM KAYIT'!$D$6:$D$125,0)-1))</f>
        <v>443</v>
      </c>
      <c r="D35" s="15" t="str">
        <f>IF(ISERROR(VLOOKUP($C35,'START LİSTE'!$B$6:$F$836,2,0)),"",VLOOKUP($C35,'START LİSTE'!$B$6:$F$836,2,0))</f>
        <v>SÜLEYMAN MAMAK</v>
      </c>
      <c r="E35" s="16" t="str">
        <f>IF(ISERROR(VLOOKUP($C35,'START LİSTE'!$B$6:$F$836,4,0)),"",VLOOKUP($C35,'START LİSTE'!$B$6:$F$836,4,0))</f>
        <v>T</v>
      </c>
      <c r="F35" s="113">
        <f>IF(ISERROR(VLOOKUP($C35,'FERDİ SONUÇ'!$B$6:$H$962,6,0)),"",VLOOKUP($C35,'FERDİ SONUÇ'!$B$6:$H$962,6,0))</f>
        <v>0</v>
      </c>
      <c r="G35" s="18" t="str">
        <f>IF(OR(E35="",F35="DQ",F35="DNF",F35="DNS",F35=""),"-",VLOOKUP(C35,'FERDİ SONUÇ'!$B$6:$H$962,7,0))</f>
        <v>DNF</v>
      </c>
      <c r="H35" s="19"/>
    </row>
    <row r="36" spans="1:8" ht="14.25" customHeight="1">
      <c r="A36" s="45">
        <f>IF(ISERROR(SMALL('TAKIM KAYIT'!$B$6:$B$125,8)),"",SMALL('TAKIM KAYIT'!$B$6:$B$125,8))</f>
        <v>8</v>
      </c>
      <c r="B36" s="14" t="str">
        <f>IF(A36="","",VLOOKUP(A36,'TAKIM KAYIT'!$B$6:$O$125,2,FALSE))</f>
        <v>KIRŞEHİR - BELEDİYE GENÇLİK SP. K.</v>
      </c>
      <c r="C36" s="101">
        <f>IF(A36="","",VLOOKUP(A36,'TAKIM KAYIT'!$B$6:$O$125,3,FALSE))</f>
        <v>444</v>
      </c>
      <c r="D36" s="15" t="str">
        <f>IF(ISERROR(VLOOKUP($C36,'START LİSTE'!$B$6:$F$836,2,0)),"",VLOOKUP($C36,'START LİSTE'!$B$6:$F$836,2,0))</f>
        <v>HASAN ÇELİK</v>
      </c>
      <c r="E36" s="16" t="str">
        <f>IF(ISERROR(VLOOKUP($C36,'START LİSTE'!$B$6:$F$836,4,0)),"",VLOOKUP($C36,'START LİSTE'!$B$6:$F$836,4,0))</f>
        <v>T</v>
      </c>
      <c r="F36" s="113">
        <f>IF(ISERROR(VLOOKUP($C36,'FERDİ SONUÇ'!$B$6:$H$962,6,0)),"",VLOOKUP($C36,'FERDİ SONUÇ'!$B$6:$H$962,6,0))</f>
        <v>0</v>
      </c>
      <c r="G36" s="18">
        <f>IF(OR(E36="",F36="DQ",F36="DNF",F36="DNS",F36=""),"-",VLOOKUP(C36,'FERDİ SONUÇ'!$B$6:$H$962,7,0))</f>
        <v>14</v>
      </c>
      <c r="H36" s="151">
        <f>IF(A36="","",VLOOKUP(A36,'TAKIM KAYIT'!$B$6:$P$125,13,FALSE))</f>
        <v>66.0027</v>
      </c>
    </row>
    <row r="37" spans="1:8" ht="14.25" customHeight="1">
      <c r="A37" s="22"/>
      <c r="B37" s="23"/>
      <c r="C37" s="106">
        <f>IF(A36="","",INDEX('TAKIM KAYIT'!$D$6:$D$125,MATCH(C36,'TAKIM KAYIT'!$D$6:$D$125,0)+1))</f>
        <v>445</v>
      </c>
      <c r="D37" s="24" t="str">
        <f>IF(ISERROR(VLOOKUP($C37,'START LİSTE'!$B$6:$F$836,2,0)),"",VLOOKUP($C37,'START LİSTE'!$B$6:$F$836,2,0))</f>
        <v>MAHİR DENİZ YİĞİT</v>
      </c>
      <c r="E37" s="25" t="str">
        <f>IF(ISERROR(VLOOKUP($C37,'START LİSTE'!$B$6:$F$836,4,0)),"",VLOOKUP($C37,'START LİSTE'!$B$6:$F$836,4,0))</f>
        <v>T</v>
      </c>
      <c r="F37" s="114">
        <f>IF(ISERROR(VLOOKUP($C37,'FERDİ SONUÇ'!$B$6:$H$962,6,0)),"",VLOOKUP($C37,'FERDİ SONUÇ'!$B$6:$H$962,6,0))</f>
        <v>0</v>
      </c>
      <c r="G37" s="26">
        <f>IF(OR(E37="",F37="DQ",F37="DNF",F37="DNS",F37=""),"-",VLOOKUP(C37,'FERDİ SONUÇ'!$B$6:$H$962,7,0))</f>
        <v>25</v>
      </c>
      <c r="H37" s="27"/>
    </row>
    <row r="38" spans="1:8" ht="14.25" customHeight="1">
      <c r="A38" s="6"/>
      <c r="B38" s="7"/>
      <c r="C38" s="99">
        <f>IF(A40="","",INDEX('TAKIM KAYIT'!$D$6:$D$125,MATCH(C40,'TAKIM KAYIT'!$D$6:$D$125,0)-2))</f>
        <v>438</v>
      </c>
      <c r="D38" s="8" t="str">
        <f>IF(ISERROR(VLOOKUP($C38,'START LİSTE'!$B$6:$F$836,2,0)),"",VLOOKUP($C38,'START LİSTE'!$B$6:$F$836,2,0))</f>
        <v>MUSTAFA YILMAZ</v>
      </c>
      <c r="E38" s="9" t="str">
        <f>IF(ISERROR(VLOOKUP($C38,'START LİSTE'!$B$6:$F$836,4,0)),"",VLOOKUP($C38,'START LİSTE'!$B$6:$F$836,4,0))</f>
        <v>T</v>
      </c>
      <c r="F38" s="112">
        <f>IF(ISERROR(VLOOKUP($C38,'FERDİ SONUÇ'!$B$6:$H$962,6,0)),"",VLOOKUP($C38,'FERDİ SONUÇ'!$B$6:$H$962,6,0))</f>
        <v>0</v>
      </c>
      <c r="G38" s="11">
        <f>IF(OR(E38="",F38="DQ",F38="DNF",F38="DNS",F38=""),"-",VLOOKUP(C38,'FERDİ SONUÇ'!$B$6:$H$962,7,0))</f>
        <v>26</v>
      </c>
      <c r="H38" s="12"/>
    </row>
    <row r="39" spans="1:8" ht="14.25" customHeight="1">
      <c r="A39" s="13"/>
      <c r="B39" s="14"/>
      <c r="C39" s="101">
        <f>IF(A40="","",INDEX('TAKIM KAYIT'!$D$6:$D$125,MATCH(C40,'TAKIM KAYIT'!$D$6:$D$125,0)-1))</f>
        <v>439</v>
      </c>
      <c r="D39" s="15" t="str">
        <f>IF(ISERROR(VLOOKUP($C39,'START LİSTE'!$B$6:$F$836,2,0)),"",VLOOKUP($C39,'START LİSTE'!$B$6:$F$836,2,0))</f>
        <v>CEBRAİL CEYLAN</v>
      </c>
      <c r="E39" s="16" t="str">
        <f>IF(ISERROR(VLOOKUP($C39,'START LİSTE'!$B$6:$F$836,4,0)),"",VLOOKUP($C39,'START LİSTE'!$B$6:$F$836,4,0))</f>
        <v>T</v>
      </c>
      <c r="F39" s="113">
        <f>IF(ISERROR(VLOOKUP($C39,'FERDİ SONUÇ'!$B$6:$H$962,6,0)),"",VLOOKUP($C39,'FERDİ SONUÇ'!$B$6:$H$962,6,0))</f>
        <v>0</v>
      </c>
      <c r="G39" s="18">
        <f>IF(OR(E39="",F39="DQ",F39="DNF",F39="DNS",F39=""),"-",VLOOKUP(C39,'FERDİ SONUÇ'!$B$6:$H$962,7,0))</f>
        <v>30</v>
      </c>
      <c r="H39" s="19"/>
    </row>
    <row r="40" spans="1:8" ht="14.25" customHeight="1">
      <c r="A40" s="45">
        <f>IF(ISERROR(SMALL('TAKIM KAYIT'!$B$6:$B$125,9)),"",SMALL('TAKIM KAYIT'!$B$6:$B$125,9))</f>
        <v>9</v>
      </c>
      <c r="B40" s="14" t="str">
        <f>IF(A40="","",VLOOKUP(A40,'TAKIM KAYIT'!$B$6:$O$125,2,FALSE))</f>
        <v>KIRŞEHİR- KIRŞEHİR LİSESİ S. KLB</v>
      </c>
      <c r="C40" s="101">
        <f>IF(A40="","",VLOOKUP(A40,'TAKIM KAYIT'!$B$6:$O$125,3,FALSE))</f>
        <v>440</v>
      </c>
      <c r="D40" s="15" t="str">
        <f>IF(ISERROR(VLOOKUP($C40,'START LİSTE'!$B$6:$F$836,2,0)),"",VLOOKUP($C40,'START LİSTE'!$B$6:$F$836,2,0))</f>
        <v>YUNUS EMRE BALDEDE</v>
      </c>
      <c r="E40" s="16" t="str">
        <f>IF(ISERROR(VLOOKUP($C40,'START LİSTE'!$B$6:$F$836,4,0)),"",VLOOKUP($C40,'START LİSTE'!$B$6:$F$836,4,0))</f>
        <v>T</v>
      </c>
      <c r="F40" s="113">
        <f>IF(ISERROR(VLOOKUP($C40,'FERDİ SONUÇ'!$B$6:$H$962,6,0)),"",VLOOKUP($C40,'FERDİ SONUÇ'!$B$6:$H$962,6,0))</f>
        <v>0</v>
      </c>
      <c r="G40" s="18" t="str">
        <f>IF(OR(E40="",F40="DQ",F40="DNF",F40="DNS",F40=""),"-",VLOOKUP(C40,'FERDİ SONUÇ'!$B$6:$H$962,7,0))</f>
        <v>DNF</v>
      </c>
      <c r="H40" s="151">
        <f>IF(A40="","",VLOOKUP(A40,'TAKIM KAYIT'!$B$6:$P$125,13,FALSE))</f>
        <v>85.003</v>
      </c>
    </row>
    <row r="41" spans="1:8" ht="14.25" customHeight="1">
      <c r="A41" s="13"/>
      <c r="B41" s="14"/>
      <c r="C41" s="101">
        <f>IF(A40="","",INDEX('TAKIM KAYIT'!$D$6:$D$125,MATCH(C40,'TAKIM KAYIT'!$D$6:$D$125,0)+1))</f>
        <v>441</v>
      </c>
      <c r="D41" s="15" t="str">
        <f>IF(ISERROR(VLOOKUP($C41,'START LİSTE'!$B$6:$F$836,2,0)),"",VLOOKUP($C41,'START LİSTE'!$B$6:$F$836,2,0))</f>
        <v>ONUR UÇAR</v>
      </c>
      <c r="E41" s="16" t="str">
        <f>IF(ISERROR(VLOOKUP($C41,'START LİSTE'!$B$6:$F$836,4,0)),"",VLOOKUP($C41,'START LİSTE'!$B$6:$F$836,4,0))</f>
        <v>T</v>
      </c>
      <c r="F41" s="113">
        <f>IF(ISERROR(VLOOKUP($C41,'FERDİ SONUÇ'!$B$6:$H$962,6,0)),"",VLOOKUP($C41,'FERDİ SONUÇ'!$B$6:$H$962,6,0))</f>
        <v>0</v>
      </c>
      <c r="G41" s="18">
        <f>IF(OR(E41="",F41="DQ",F41="DNF",F41="DNS",F41=""),"-",VLOOKUP(C41,'FERDİ SONUÇ'!$B$6:$H$962,7,0))</f>
        <v>29</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652" stopIfTrue="1">
      <formula>AND(COUNTIF($B$5:$B$5,B5)&gt;1,NOT(ISBLANK(B5)))</formula>
    </cfRule>
  </conditionalFormatting>
  <conditionalFormatting sqref="A6:A125">
    <cfRule type="cellIs" priority="6" dxfId="653" operator="greaterThan">
      <formula>1000</formula>
    </cfRule>
    <cfRule type="cellIs" priority="7" dxfId="652" operator="greaterThan">
      <formula>"&gt;1000"</formula>
    </cfRule>
  </conditionalFormatting>
  <conditionalFormatting sqref="H6:H125">
    <cfRule type="duplicateValues" priority="1" dxfId="652">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Kayseri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90"/>
      <c r="B3" s="90"/>
      <c r="C3" s="192"/>
      <c r="D3" s="192"/>
      <c r="E3" s="90"/>
      <c r="F3" s="91"/>
      <c r="G3" s="90"/>
      <c r="H3" s="90"/>
      <c r="I3" s="90"/>
      <c r="J3" s="90"/>
      <c r="K3" s="90"/>
    </row>
    <row r="4" spans="1:11" ht="12.75">
      <c r="A4" s="195" t="str">
        <f>KAPAK!B26</f>
        <v>Yıldız Erkekler</v>
      </c>
      <c r="B4" s="195"/>
      <c r="C4" s="193" t="str">
        <f>KAPAK!B25</f>
        <v>3 km.</v>
      </c>
      <c r="D4" s="193"/>
      <c r="E4" s="92"/>
      <c r="F4" s="194">
        <f>KAPAK!B28</f>
        <v>41924.458333333336</v>
      </c>
      <c r="G4" s="194"/>
      <c r="H4" s="194"/>
      <c r="I4" s="194"/>
      <c r="J4" s="194"/>
      <c r="K4" s="19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450</v>
      </c>
      <c r="D6" s="129" t="str">
        <f>IF(ISERROR(VLOOKUP($C6,'START LİSTE'!$B$6:$F$1025,2,0)),"",VLOOKUP($C6,'START LİSTE'!$B$6:$F$1025,2,0))</f>
        <v>BEKİR KABADAYI </v>
      </c>
      <c r="E6" s="130" t="str">
        <f>IF(ISERROR(VLOOKUP($C6,'START LİSTE'!$B$6:$F$1025,4,0)),"",VLOOKUP($C6,'START LİSTE'!$B$6:$F$1025,4,0))</f>
        <v>T</v>
      </c>
      <c r="F6" s="131">
        <f>IF(ISERROR(VLOOKUP($C6,'FERDİ SONUÇ'!$B$6:$H$1069,6,0)),"",VLOOKUP($C6,'FERDİ SONUÇ'!$B$6:$H$1069,6,0))</f>
        <v>849</v>
      </c>
      <c r="G6" s="132">
        <f>IF(OR(E6="",F6="DQ",F6="DNF",F6="DNS",F6=""),"-",VLOOKUP(C6,'FERDİ SONUÇ'!$B$6:$H$1069,7,0))</f>
        <v>1</v>
      </c>
      <c r="H6" s="100"/>
      <c r="I6" s="100"/>
      <c r="J6" s="100"/>
      <c r="K6" s="12"/>
    </row>
    <row r="7" spans="1:11" ht="14.25">
      <c r="A7" s="133"/>
      <c r="B7" s="134"/>
      <c r="C7" s="135">
        <f>IF(A8="","",INDEX('TAKIM KAYIT'!$D$6:$D$125,MATCH(C8,'TAKIM KAYIT'!$D$6:$D$125,0)-1))</f>
        <v>451</v>
      </c>
      <c r="D7" s="136" t="str">
        <f>IF(ISERROR(VLOOKUP($C7,'START LİSTE'!$B$6:$F$1025,2,0)),"",VLOOKUP($C7,'START LİSTE'!$B$6:$F$1025,2,0))</f>
        <v>OĞUZHAN  FURKAN DEDE</v>
      </c>
      <c r="E7" s="137" t="str">
        <f>IF(ISERROR(VLOOKUP($C7,'START LİSTE'!$B$6:$F$1025,4,0)),"",VLOOKUP($C7,'START LİSTE'!$B$6:$F$1025,4,0))</f>
        <v>T</v>
      </c>
      <c r="F7" s="138">
        <f>IF(ISERROR(VLOOKUP($C7,'FERDİ SONUÇ'!$B$6:$H$1069,6,0)),"",VLOOKUP($C7,'FERDİ SONUÇ'!$B$6:$H$1069,6,0))</f>
        <v>909</v>
      </c>
      <c r="G7" s="139">
        <f>IF(OR(E7="",F7="DQ",F7="DNF",F7="DNS",F7=""),"-",VLOOKUP(C7,'FERDİ SONUÇ'!$B$6:$H$1069,7,0))</f>
        <v>4</v>
      </c>
      <c r="H7" s="102"/>
      <c r="I7" s="102"/>
      <c r="J7" s="102"/>
      <c r="K7" s="19"/>
    </row>
    <row r="8" spans="1:11" ht="15.75">
      <c r="A8" s="133">
        <f>IF(ISERROR(SMALL('TAKIM KAYIT'!$A$6:$A$125,1)),"",SMALL('TAKIM KAYIT'!$A$6:$A$125,1))</f>
        <v>1</v>
      </c>
      <c r="B8" s="134" t="str">
        <f>IF(A8="","",VLOOKUP(A8,'TAKIM KAYIT'!$A$6:$O$1250,3,0))</f>
        <v>ESKİŞEHİR BÜYÜKŞEHİR G.S.K</v>
      </c>
      <c r="C8" s="135">
        <f>IF(A8="","",VLOOKUP(A8,'TAKIM KAYIT'!$B$6:$O$125,3,FALSE))</f>
        <v>452</v>
      </c>
      <c r="D8" s="136" t="str">
        <f>IF(ISERROR(VLOOKUP($C8,'START LİSTE'!$B$6:$F$1025,2,0)),"",VLOOKUP($C8,'START LİSTE'!$B$6:$F$1025,2,0))</f>
        <v>NİHAT TOKMAK</v>
      </c>
      <c r="E8" s="137" t="str">
        <f>IF(ISERROR(VLOOKUP($C8,'START LİSTE'!$B$6:$F$1025,4,0)),"",VLOOKUP($C8,'START LİSTE'!$B$6:$F$1025,4,0))</f>
        <v>T</v>
      </c>
      <c r="F8" s="138">
        <f>IF(ISERROR(VLOOKUP($C8,'FERDİ SONUÇ'!$B$6:$H$1069,6,0)),"",VLOOKUP($C8,'FERDİ SONUÇ'!$B$6:$H$1069,6,0))</f>
        <v>927</v>
      </c>
      <c r="G8" s="139">
        <f>IF(OR(E8="",F8="DQ",F8="DNF",F8="DNS",F8=""),"-",VLOOKUP(C8,'FERDİ SONUÇ'!$B$6:$H$1069,7,0))</f>
        <v>6</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453</v>
      </c>
      <c r="D9" s="136" t="str">
        <f>IF(ISERROR(VLOOKUP($C9,'START LİSTE'!$B$6:$F$1025,2,0)),"",VLOOKUP($C9,'START LİSTE'!$B$6:$F$1025,2,0))</f>
        <v>OĞUZHAN TAŞDEMİR</v>
      </c>
      <c r="E9" s="137" t="str">
        <f>IF(ISERROR(VLOOKUP($C9,'START LİSTE'!$B$6:$F$1025,4,0)),"",VLOOKUP($C9,'START LİSTE'!$B$6:$F$1025,4,0))</f>
        <v>T</v>
      </c>
      <c r="F9" s="138">
        <f>IF(ISERROR(VLOOKUP($C9,'FERDİ SONUÇ'!$B$6:$H$1069,6,0)),"",VLOOKUP($C9,'FERDİ SONUÇ'!$B$6:$H$1069,6,0))</f>
        <v>901</v>
      </c>
      <c r="G9" s="139">
        <f>IF(OR(E9="",F9="DQ",F9="DNF",F9="DNS",F9=""),"-",VLOOKUP(C9,'FERDİ SONUÇ'!$B$6:$H$1069,7,0))</f>
        <v>2</v>
      </c>
      <c r="H9" s="102"/>
      <c r="I9" s="102"/>
      <c r="J9" s="102"/>
      <c r="K9" s="19"/>
    </row>
    <row r="10" spans="1:11" ht="14.25">
      <c r="A10" s="126"/>
      <c r="B10" s="127"/>
      <c r="C10" s="128">
        <f>IF(A12="","",INDEX('TAKIM KAYIT'!$D$6:$D$125,MATCH(C12,'TAKIM KAYIT'!$D$6:$D$125,0)-2))</f>
        <v>430</v>
      </c>
      <c r="D10" s="129" t="str">
        <f>IF(ISERROR(VLOOKUP($C10,'START LİSTE'!$B$6:$F$1025,2,0)),"",VLOOKUP($C10,'START LİSTE'!$B$6:$F$1025,2,0))</f>
        <v>HÜSEYİN  BOZKUŞ</v>
      </c>
      <c r="E10" s="130" t="str">
        <f>IF(ISERROR(VLOOKUP($C10,'START LİSTE'!$B$6:$F$1025,4,0)),"",VLOOKUP($C10,'START LİSTE'!$B$6:$F$1025,4,0))</f>
        <v>T</v>
      </c>
      <c r="F10" s="131">
        <f>IF(ISERROR(VLOOKUP($C10,'FERDİ SONUÇ'!$B$6:$H$1069,6,0)),"",VLOOKUP($C10,'FERDİ SONUÇ'!$B$6:$H$1069,6,0))</f>
        <v>908</v>
      </c>
      <c r="G10" s="132">
        <f>IF(OR(E10="",F10="DQ",F10="DNF",F10="DNS",F10=""),"-",VLOOKUP(C10,'FERDİ SONUÇ'!$B$6:$H$1069,7,0))</f>
        <v>3</v>
      </c>
      <c r="H10" s="100"/>
      <c r="I10" s="100"/>
      <c r="J10" s="100"/>
      <c r="K10" s="12"/>
    </row>
    <row r="11" spans="1:11" ht="14.25">
      <c r="A11" s="133"/>
      <c r="B11" s="134"/>
      <c r="C11" s="135">
        <f>IF(A12="","",INDEX('TAKIM KAYIT'!$D$6:$D$125,MATCH(C12,'TAKIM KAYIT'!$D$6:$D$125,0)-1))</f>
        <v>431</v>
      </c>
      <c r="D11" s="136" t="str">
        <f>IF(ISERROR(VLOOKUP($C11,'START LİSTE'!$B$6:$F$1025,2,0)),"",VLOOKUP($C11,'START LİSTE'!$B$6:$F$1025,2,0))</f>
        <v>YUNUS  ÖLGER</v>
      </c>
      <c r="E11" s="137" t="str">
        <f>IF(ISERROR(VLOOKUP($C11,'START LİSTE'!$B$6:$F$1025,4,0)),"",VLOOKUP($C11,'START LİSTE'!$B$6:$F$1025,4,0))</f>
        <v>T</v>
      </c>
      <c r="F11" s="138">
        <f>IF(ISERROR(VLOOKUP($C11,'FERDİ SONUÇ'!$B$6:$H$1069,6,0)),"",VLOOKUP($C11,'FERDİ SONUÇ'!$B$6:$H$1069,6,0))</f>
        <v>928</v>
      </c>
      <c r="G11" s="139">
        <f>IF(OR(E11="",F11="DQ",F11="DNF",F11="DNS",F11=""),"-",VLOOKUP(C11,'FERDİ SONUÇ'!$B$6:$H$1069,7,0))</f>
        <v>7</v>
      </c>
      <c r="H11" s="102"/>
      <c r="I11" s="102"/>
      <c r="J11" s="102"/>
      <c r="K11" s="19"/>
    </row>
    <row r="12" spans="1:11" ht="15.75">
      <c r="A12" s="62">
        <f>IF(ISERROR(SMALL('TAKIM KAYIT'!$A$6:$A$125,1)),"",SMALL('TAKIM KAYIT'!$A$6:$A$125,2))</f>
        <v>2</v>
      </c>
      <c r="B12" s="134" t="str">
        <f>IF(A12="","",VLOOKUP(A12,'TAKIM KAYIT'!$A$6:$O$1250,3,0))</f>
        <v>SPORCU EĞİTİM MERKEZİGENÇLİK VE SPOR KÜLÜBÜ</v>
      </c>
      <c r="C12" s="135">
        <f>IF(A12="","",VLOOKUP(A12,'TAKIM KAYIT'!$B$6:$O$125,3,FALSE))</f>
        <v>432</v>
      </c>
      <c r="D12" s="136" t="str">
        <f>IF(ISERROR(VLOOKUP($C12,'START LİSTE'!$B$6:$F$1025,2,0)),"",VLOOKUP($C12,'START LİSTE'!$B$6:$F$1025,2,0))</f>
        <v>NECATİ BİNGÖL</v>
      </c>
      <c r="E12" s="137" t="str">
        <f>IF(ISERROR(VLOOKUP($C12,'START LİSTE'!$B$6:$F$1025,4,0)),"",VLOOKUP($C12,'START LİSTE'!$B$6:$F$1025,4,0))</f>
        <v>T</v>
      </c>
      <c r="F12" s="138">
        <f>IF(ISERROR(VLOOKUP($C12,'FERDİ SONUÇ'!$B$6:$H$1069,6,0)),"",VLOOKUP($C12,'FERDİ SONUÇ'!$B$6:$H$1069,6,0))</f>
        <v>941</v>
      </c>
      <c r="G12" s="139">
        <f>IF(OR(E12="",F12="DQ",F12="DNF",F12="DNS",F12=""),"-",VLOOKUP(C12,'FERDİ SONUÇ'!$B$6:$H$1069,7,0))</f>
        <v>8</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433</v>
      </c>
      <c r="D13" s="136" t="str">
        <f>IF(ISERROR(VLOOKUP($C13,'START LİSTE'!$B$6:$F$1025,2,0)),"",VLOOKUP($C13,'START LİSTE'!$B$6:$F$1025,2,0))</f>
        <v>ABDURRAHMAN  ASLAN</v>
      </c>
      <c r="E13" s="137" t="str">
        <f>IF(ISERROR(VLOOKUP($C13,'START LİSTE'!$B$6:$F$1025,4,0)),"",VLOOKUP($C13,'START LİSTE'!$B$6:$F$1025,4,0))</f>
        <v>T</v>
      </c>
      <c r="F13" s="138">
        <f>IF(ISERROR(VLOOKUP($C13,'FERDİ SONUÇ'!$B$6:$H$1069,6,0)),"",VLOOKUP($C13,'FERDİ SONUÇ'!$B$6:$H$1069,6,0))</f>
        <v>0</v>
      </c>
      <c r="G13" s="139">
        <f>IF(OR(E13="",F13="DQ",F13="DNF",F13="DNS",F13=""),"-",VLOOKUP(C13,'FERDİ SONUÇ'!$B$6:$H$1069,7,0))</f>
        <v>20</v>
      </c>
      <c r="H13" s="102"/>
      <c r="I13" s="102"/>
      <c r="J13" s="102"/>
      <c r="K13" s="19"/>
    </row>
    <row r="14" spans="1:11" ht="14.25">
      <c r="A14" s="126"/>
      <c r="B14" s="127"/>
      <c r="C14" s="128">
        <f>IF(A16="","",INDEX('TAKIM KAYIT'!$D$6:$D$125,MATCH(C16,'TAKIM KAYIT'!$D$6:$D$125,0)-2))</f>
        <v>446</v>
      </c>
      <c r="D14" s="129" t="str">
        <f>IF(ISERROR(VLOOKUP($C14,'START LİSTE'!$B$6:$F$1025,2,0)),"",VLOOKUP($C14,'START LİSTE'!$B$6:$F$1025,2,0))</f>
        <v>SAVAŞ ÇAKMAK</v>
      </c>
      <c r="E14" s="130" t="str">
        <f>IF(ISERROR(VLOOKUP($C14,'START LİSTE'!$B$6:$F$1025,4,0)),"",VLOOKUP($C14,'START LİSTE'!$B$6:$F$1025,4,0))</f>
        <v>T</v>
      </c>
      <c r="F14" s="131">
        <f>IF(ISERROR(VLOOKUP($C14,'FERDİ SONUÇ'!$B$6:$H$1069,6,0)),"",VLOOKUP($C14,'FERDİ SONUÇ'!$B$6:$H$1069,6,0))</f>
        <v>924</v>
      </c>
      <c r="G14" s="132">
        <f>IF(OR(E14="",F14="DQ",F14="DNF",F14="DNS",F14=""),"-",VLOOKUP(C14,'FERDİ SONUÇ'!$B$6:$H$1069,7,0))</f>
        <v>5</v>
      </c>
      <c r="H14" s="100"/>
      <c r="I14" s="100"/>
      <c r="J14" s="100"/>
      <c r="K14" s="12"/>
    </row>
    <row r="15" spans="1:11" ht="14.25">
      <c r="A15" s="133"/>
      <c r="B15" s="134"/>
      <c r="C15" s="135">
        <f>IF(A16="","",INDEX('TAKIM KAYIT'!$D$6:$D$125,MATCH(C16,'TAKIM KAYIT'!$D$6:$D$125,0)-1))</f>
        <v>447</v>
      </c>
      <c r="D15" s="136" t="str">
        <f>IF(ISERROR(VLOOKUP($C15,'START LİSTE'!$B$6:$F$1025,2,0)),"",VLOOKUP($C15,'START LİSTE'!$B$6:$F$1025,2,0))</f>
        <v>FATİH SABAN</v>
      </c>
      <c r="E15" s="137" t="str">
        <f>IF(ISERROR(VLOOKUP($C15,'START LİSTE'!$B$6:$F$1025,4,0)),"",VLOOKUP($C15,'START LİSTE'!$B$6:$F$1025,4,0))</f>
        <v>T</v>
      </c>
      <c r="F15" s="138">
        <f>IF(ISERROR(VLOOKUP($C15,'FERDİ SONUÇ'!$B$6:$H$1069,6,0)),"",VLOOKUP($C15,'FERDİ SONUÇ'!$B$6:$H$1069,6,0))</f>
        <v>0</v>
      </c>
      <c r="G15" s="139">
        <f>IF(OR(E15="",F15="DQ",F15="DNF",F15="DNS",F15=""),"-",VLOOKUP(C15,'FERDİ SONUÇ'!$B$6:$H$1069,7,0))</f>
        <v>12</v>
      </c>
      <c r="H15" s="102"/>
      <c r="I15" s="102"/>
      <c r="J15" s="102"/>
      <c r="K15" s="19"/>
    </row>
    <row r="16" spans="1:11" ht="15.75">
      <c r="A16" s="133">
        <f>IF(ISERROR(SMALL('TAKIM KAYIT'!$A$6:$A$125,1)),"",SMALL('TAKIM KAYIT'!$A$6:$A$125,3))</f>
        <v>3</v>
      </c>
      <c r="B16" s="134" t="str">
        <f>IF(A16="","",VLOOKUP(A16,'TAKIM KAYIT'!$A$6:$O$1250,3,0))</f>
        <v>NEVŞEHİR GHSİM S.K</v>
      </c>
      <c r="C16" s="135">
        <f>IF(A16="","",VLOOKUP(A16,'TAKIM KAYIT'!$B$6:$O$125,3,FALSE))</f>
        <v>448</v>
      </c>
      <c r="D16" s="136" t="str">
        <f>IF(ISERROR(VLOOKUP($C16,'START LİSTE'!$B$6:$F$1025,2,0)),"",VLOOKUP($C16,'START LİSTE'!$B$6:$F$1025,2,0))</f>
        <v>FURKAN AÇIKGÖZ</v>
      </c>
      <c r="E16" s="137" t="str">
        <f>IF(ISERROR(VLOOKUP($C16,'START LİSTE'!$B$6:$F$1025,4,0)),"",VLOOKUP($C16,'START LİSTE'!$B$6:$F$1025,4,0))</f>
        <v>T</v>
      </c>
      <c r="F16" s="138">
        <f>IF(ISERROR(VLOOKUP($C16,'FERDİ SONUÇ'!$B$6:$H$1069,6,0)),"",VLOOKUP($C16,'FERDİ SONUÇ'!$B$6:$H$1069,6,0))</f>
        <v>0</v>
      </c>
      <c r="G16" s="139">
        <f>IF(OR(E16="",F16="DQ",F16="DNF",F16="DNS",F16=""),"-",VLOOKUP(C16,'FERDİ SONUÇ'!$B$6:$H$1069,7,0))</f>
        <v>15</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449</v>
      </c>
      <c r="D17" s="136" t="str">
        <f>IF(ISERROR(VLOOKUP($C17,'START LİSTE'!$B$6:$F$1025,2,0)),"",VLOOKUP($C17,'START LİSTE'!$B$6:$F$1025,2,0))</f>
        <v>MUSTAFA SOYLU</v>
      </c>
      <c r="E17" s="137" t="str">
        <f>IF(ISERROR(VLOOKUP($C17,'START LİSTE'!$B$6:$F$1025,4,0)),"",VLOOKUP($C17,'START LİSTE'!$B$6:$F$1025,4,0))</f>
        <v>T</v>
      </c>
      <c r="F17" s="138">
        <f>IF(ISERROR(VLOOKUP($C17,'FERDİ SONUÇ'!$B$6:$H$1069,6,0)),"",VLOOKUP($C17,'FERDİ SONUÇ'!$B$6:$H$1069,6,0))</f>
      </c>
      <c r="G17" s="139" t="str">
        <f>IF(OR(E17="",F17="DQ",F17="DNF",F17="DNS",F17=""),"-",VLOOKUP(C17,'FERDİ SONUÇ'!$B$6:$H$1069,7,0))</f>
        <v>-</v>
      </c>
      <c r="H17" s="102"/>
      <c r="I17" s="102"/>
      <c r="J17" s="102"/>
      <c r="K17" s="19"/>
    </row>
    <row r="18" spans="1:11" ht="14.25">
      <c r="A18" s="126"/>
      <c r="B18" s="127"/>
      <c r="C18" s="128">
        <f>IF(A20="","",INDEX('TAKIM KAYIT'!$D$6:$D$125,MATCH(C20,'TAKIM KAYIT'!$D$6:$D$125,0)-2))</f>
        <v>454</v>
      </c>
      <c r="D18" s="129" t="str">
        <f>IF(ISERROR(VLOOKUP($C18,'START LİSTE'!$B$6:$F$1025,2,0)),"",VLOOKUP($C18,'START LİSTE'!$B$6:$F$1025,2,0))</f>
        <v>EDİP ERÇİN</v>
      </c>
      <c r="E18" s="130" t="str">
        <f>IF(ISERROR(VLOOKUP($C18,'START LİSTE'!$B$6:$F$1025,4,0)),"",VLOOKUP($C18,'START LİSTE'!$B$6:$F$1025,4,0))</f>
        <v>T</v>
      </c>
      <c r="F18" s="131">
        <f>IF(ISERROR(VLOOKUP($C18,'FERDİ SONUÇ'!$B$6:$H$1069,6,0)),"",VLOOKUP($C18,'FERDİ SONUÇ'!$B$6:$H$1069,6,0))</f>
        <v>1004</v>
      </c>
      <c r="G18" s="132">
        <f>IF(OR(E18="",F18="DQ",F18="DNF",F18="DNS",F18=""),"-",VLOOKUP(C18,'FERDİ SONUÇ'!$B$6:$H$1069,7,0))</f>
        <v>10</v>
      </c>
      <c r="H18" s="104"/>
      <c r="I18" s="104"/>
      <c r="J18" s="104"/>
      <c r="K18" s="12"/>
    </row>
    <row r="19" spans="1:11" ht="14.25">
      <c r="A19" s="133"/>
      <c r="B19" s="134"/>
      <c r="C19" s="135">
        <f>IF(A20="","",INDEX('TAKIM KAYIT'!$D$6:$D$125,MATCH(C20,'TAKIM KAYIT'!$D$6:$D$125,0)-1))</f>
        <v>455</v>
      </c>
      <c r="D19" s="136" t="str">
        <f>IF(ISERROR(VLOOKUP($C19,'START LİSTE'!$B$6:$F$1025,2,0)),"",VLOOKUP($C19,'START LİSTE'!$B$6:$F$1025,2,0))</f>
        <v>FURKAN GÜVERCİNLİ</v>
      </c>
      <c r="E19" s="137" t="str">
        <f>IF(ISERROR(VLOOKUP($C19,'START LİSTE'!$B$6:$F$1025,4,0)),"",VLOOKUP($C19,'START LİSTE'!$B$6:$F$1025,4,0))</f>
        <v>T</v>
      </c>
      <c r="F19" s="138">
        <f>IF(ISERROR(VLOOKUP($C19,'FERDİ SONUÇ'!$B$6:$H$1069,6,0)),"",VLOOKUP($C19,'FERDİ SONUÇ'!$B$6:$H$1069,6,0))</f>
        <v>0</v>
      </c>
      <c r="G19" s="139">
        <f>IF(OR(E19="",F19="DQ",F19="DNF",F19="DNS",F19=""),"-",VLOOKUP(C19,'FERDİ SONUÇ'!$B$6:$H$1069,7,0))</f>
        <v>17</v>
      </c>
      <c r="H19" s="105"/>
      <c r="I19" s="105"/>
      <c r="J19" s="105"/>
      <c r="K19" s="19"/>
    </row>
    <row r="20" spans="1:11" ht="15.75">
      <c r="A20" s="133">
        <f>IF(ISERROR(SMALL('TAKIM KAYIT'!$A$6:$A$125,1)),"",SMALL('TAKIM KAYIT'!$A$6:$A$125,4))</f>
        <v>4</v>
      </c>
      <c r="B20" s="134" t="str">
        <f>IF(A20="","",VLOOKUP(A20,'TAKIM KAYIT'!$A$6:$O$1250,3,0))</f>
        <v>ANKARA-BB ANKARASPOR</v>
      </c>
      <c r="C20" s="135">
        <f>IF(A20="","",VLOOKUP(A20,'TAKIM KAYIT'!$B$6:$O$125,3,FALSE))</f>
        <v>456</v>
      </c>
      <c r="D20" s="136" t="str">
        <f>IF(ISERROR(VLOOKUP($C20,'START LİSTE'!$B$6:$F$1025,2,0)),"",VLOOKUP($C20,'START LİSTE'!$B$6:$F$1025,2,0))</f>
        <v>ZEKERYA KOCATEPE</v>
      </c>
      <c r="E20" s="137" t="str">
        <f>IF(ISERROR(VLOOKUP($C20,'START LİSTE'!$B$6:$F$1025,4,0)),"",VLOOKUP($C20,'START LİSTE'!$B$6:$F$1025,4,0))</f>
        <v>T</v>
      </c>
      <c r="F20" s="138">
        <f>IF(ISERROR(VLOOKUP($C20,'FERDİ SONUÇ'!$B$6:$H$1069,6,0)),"",VLOOKUP($C20,'FERDİ SONUÇ'!$B$6:$H$1069,6,0))</f>
        <v>0</v>
      </c>
      <c r="G20" s="139">
        <f>IF(OR(E20="",F20="DQ",F20="DNF",F20="DNS",F20=""),"-",VLOOKUP(C20,'FERDİ SONUÇ'!$B$6:$H$1069,7,0))</f>
        <v>19</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f>IF(A20="","",INDEX('TAKIM KAYIT'!$D$6:$D$125,MATCH(C20,'TAKIM KAYIT'!$D$6:$D$125,0)+1))</f>
        <v>457</v>
      </c>
      <c r="D21" s="136" t="str">
        <f>IF(ISERROR(VLOOKUP($C21,'START LİSTE'!$B$6:$F$1025,2,0)),"",VLOOKUP($C21,'START LİSTE'!$B$6:$F$1025,2,0))</f>
        <v>HAKAN KÖSTEKÇİ</v>
      </c>
      <c r="E21" s="137" t="str">
        <f>IF(ISERROR(VLOOKUP($C21,'START LİSTE'!$B$6:$F$1025,4,0)),"",VLOOKUP($C21,'START LİSTE'!$B$6:$F$1025,4,0))</f>
        <v>T</v>
      </c>
      <c r="F21" s="138">
        <f>IF(ISERROR(VLOOKUP($C21,'FERDİ SONUÇ'!$B$6:$H$1069,6,0)),"",VLOOKUP($C21,'FERDİ SONUÇ'!$B$6:$H$1069,6,0))</f>
      </c>
      <c r="G21" s="139" t="str">
        <f>IF(OR(E21="",F21="DQ",F21="DNF",F21="DNS",F21=""),"-",VLOOKUP(C21,'FERDİ SONUÇ'!$B$6:$H$1069,7,0))</f>
        <v>-</v>
      </c>
      <c r="H21" s="105"/>
      <c r="I21" s="105"/>
      <c r="J21" s="105"/>
      <c r="K21" s="19"/>
    </row>
    <row r="22" spans="1:11" ht="14.25">
      <c r="A22" s="126"/>
      <c r="B22" s="127"/>
      <c r="C22" s="128">
        <f>IF(A24="","",INDEX('TAKIM KAYIT'!$D$6:$D$125,MATCH(C24,'TAKIM KAYIT'!$D$6:$D$125,0)-2))</f>
        <v>462</v>
      </c>
      <c r="D22" s="129" t="str">
        <f>IF(ISERROR(VLOOKUP($C22,'START LİSTE'!$B$6:$F$1025,2,0)),"",VLOOKUP($C22,'START LİSTE'!$B$6:$F$1025,2,0))</f>
        <v>OĞUZHAN OLKUN</v>
      </c>
      <c r="E22" s="130" t="str">
        <f>IF(ISERROR(VLOOKUP($C22,'START LİSTE'!$B$6:$F$1025,4,0)),"",VLOOKUP($C22,'START LİSTE'!$B$6:$F$1025,4,0))</f>
        <v>T</v>
      </c>
      <c r="F22" s="131">
        <f>IF(ISERROR(VLOOKUP($C22,'FERDİ SONUÇ'!$B$6:$H$1069,6,0)),"",VLOOKUP($C22,'FERDİ SONUÇ'!$B$6:$H$1069,6,0))</f>
        <v>957</v>
      </c>
      <c r="G22" s="132">
        <f>IF(OR(E22="",F22="DQ",F22="DNF",F22="DNS",F22=""),"-",VLOOKUP(C22,'FERDİ SONUÇ'!$B$6:$H$1069,7,0))</f>
        <v>9</v>
      </c>
      <c r="H22" s="104"/>
      <c r="I22" s="104"/>
      <c r="J22" s="104"/>
      <c r="K22" s="12"/>
    </row>
    <row r="23" spans="1:11" ht="14.25">
      <c r="A23" s="133"/>
      <c r="B23" s="134"/>
      <c r="C23" s="135">
        <f>IF(A24="","",INDEX('TAKIM KAYIT'!$D$6:$D$125,MATCH(C24,'TAKIM KAYIT'!$D$6:$D$125,0)-1))</f>
        <v>463</v>
      </c>
      <c r="D23" s="136" t="str">
        <f>IF(ISERROR(VLOOKUP($C23,'START LİSTE'!$B$6:$F$1025,2,0)),"",VLOOKUP($C23,'START LİSTE'!$B$6:$F$1025,2,0))</f>
        <v>YUSUF PEKTAŞ</v>
      </c>
      <c r="E23" s="137" t="str">
        <f>IF(ISERROR(VLOOKUP($C23,'START LİSTE'!$B$6:$F$1025,4,0)),"",VLOOKUP($C23,'START LİSTE'!$B$6:$F$1025,4,0))</f>
        <v>T</v>
      </c>
      <c r="F23" s="138">
        <f>IF(ISERROR(VLOOKUP($C23,'FERDİ SONUÇ'!$B$6:$H$1069,6,0)),"",VLOOKUP($C23,'FERDİ SONUÇ'!$B$6:$H$1069,6,0))</f>
        <v>0</v>
      </c>
      <c r="G23" s="139">
        <f>IF(OR(E23="",F23="DQ",F23="DNF",F23="DNS",F23=""),"-",VLOOKUP(C23,'FERDİ SONUÇ'!$B$6:$H$1069,7,0))</f>
        <v>21</v>
      </c>
      <c r="H23" s="105"/>
      <c r="I23" s="105"/>
      <c r="J23" s="105"/>
      <c r="K23" s="19"/>
    </row>
    <row r="24" spans="1:11" ht="15.75">
      <c r="A24" s="133">
        <f>IF(ISERROR(SMALL('TAKIM KAYIT'!$A$6:$A$125,1)),"",SMALL('TAKIM KAYIT'!$A$6:$A$125,5))</f>
        <v>5</v>
      </c>
      <c r="B24" s="134" t="str">
        <f>IF(A24="","",VLOOKUP(A24,'TAKIM KAYIT'!$A$6:$O$1250,3,0))</f>
        <v>NEVŞEHİR 100.YIL ÜLFET BAŞER İO SP. KLB.</v>
      </c>
      <c r="C24" s="135">
        <f>IF(A24="","",VLOOKUP(A24,'TAKIM KAYIT'!$B$6:$O$125,3,FALSE))</f>
        <v>464</v>
      </c>
      <c r="D24" s="136" t="str">
        <f>IF(ISERROR(VLOOKUP($C24,'START LİSTE'!$B$6:$F$1025,2,0)),"",VLOOKUP($C24,'START LİSTE'!$B$6:$F$1025,2,0))</f>
        <v>HÜSEYİN KARACA</v>
      </c>
      <c r="E24" s="137" t="str">
        <f>IF(ISERROR(VLOOKUP($C24,'START LİSTE'!$B$6:$F$1025,4,0)),"",VLOOKUP($C24,'START LİSTE'!$B$6:$F$1025,4,0))</f>
        <v>T</v>
      </c>
      <c r="F24" s="138">
        <f>IF(ISERROR(VLOOKUP($C24,'FERDİ SONUÇ'!$B$6:$H$1069,6,0)),"",VLOOKUP($C24,'FERDİ SONUÇ'!$B$6:$H$1069,6,0))</f>
        <v>0</v>
      </c>
      <c r="G24" s="139">
        <f>IF(OR(E24="",F24="DQ",F24="DNF",F24="DNS",F24=""),"-",VLOOKUP(C24,'FERDİ SONUÇ'!$B$6:$H$1069,7,0))</f>
        <v>22</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f>IF(A24="","",INDEX('TAKIM KAYIT'!$D$6:$D$125,MATCH(C24,'TAKIM KAYIT'!$D$6:$D$125,0)+1))</f>
        <v>0</v>
      </c>
      <c r="D25" s="136">
        <f>IF(ISERROR(VLOOKUP($C25,'START LİSTE'!$B$6:$F$1025,2,0)),"",VLOOKUP($C25,'START LİSTE'!$B$6:$F$1025,2,0))</f>
      </c>
      <c r="E25" s="137">
        <f>IF(ISERROR(VLOOKUP($C25,'START LİSTE'!$B$6:$F$1025,4,0)),"",VLOOKUP($C25,'START LİSTE'!$B$6:$F$1025,4,0))</f>
      </c>
      <c r="F25" s="138">
        <f>IF(ISERROR(VLOOKUP($C25,'FERDİ SONUÇ'!$B$6:$H$1069,6,0)),"",VLOOKUP($C25,'FERDİ SONUÇ'!$B$6:$H$1069,6,0))</f>
      </c>
      <c r="G25" s="139" t="str">
        <f>IF(OR(E25="",F25="DQ",F25="DNF",F25="DNS",F25=""),"-",VLOOKUP(C25,'FERDİ SONUÇ'!$B$6:$H$1069,7,0))</f>
        <v>-</v>
      </c>
      <c r="H25" s="105"/>
      <c r="I25" s="105"/>
      <c r="J25" s="105"/>
      <c r="K25" s="19"/>
    </row>
    <row r="26" spans="1:11" ht="14.25">
      <c r="A26" s="126"/>
      <c r="B26" s="127"/>
      <c r="C26" s="128">
        <f>IF(A28="","",INDEX('TAKIM KAYIT'!$D$6:$D$125,MATCH(C28,'TAKIM KAYIT'!$D$6:$D$125,0)-2))</f>
        <v>458</v>
      </c>
      <c r="D26" s="129" t="str">
        <f>IF(ISERROR(VLOOKUP($C26,'START LİSTE'!$B$6:$F$1025,2,0)),"",VLOOKUP($C26,'START LİSTE'!$B$6:$F$1025,2,0))</f>
        <v>AHAT KARATAŞ</v>
      </c>
      <c r="E26" s="130" t="str">
        <f>IF(ISERROR(VLOOKUP($C26,'START LİSTE'!$B$6:$F$1025,4,0)),"",VLOOKUP($C26,'START LİSTE'!$B$6:$F$1025,4,0))</f>
        <v>T</v>
      </c>
      <c r="F26" s="131">
        <f>IF(ISERROR(VLOOKUP($C26,'FERDİ SONUÇ'!$B$6:$H$1069,6,0)),"",VLOOKUP($C26,'FERDİ SONUÇ'!$B$6:$H$1069,6,0))</f>
        <v>0</v>
      </c>
      <c r="G26" s="132">
        <f>IF(OR(E26="",F26="DQ",F26="DNF",F26="DNS",F26=""),"-",VLOOKUP(C26,'FERDİ SONUÇ'!$B$6:$H$1069,7,0))</f>
        <v>23</v>
      </c>
      <c r="H26" s="104"/>
      <c r="I26" s="104"/>
      <c r="J26" s="104"/>
      <c r="K26" s="12"/>
    </row>
    <row r="27" spans="1:11" ht="14.25">
      <c r="A27" s="133"/>
      <c r="B27" s="134"/>
      <c r="C27" s="135">
        <f>IF(A28="","",INDEX('TAKIM KAYIT'!$D$6:$D$125,MATCH(C28,'TAKIM KAYIT'!$D$6:$D$125,0)-1))</f>
        <v>459</v>
      </c>
      <c r="D27" s="136" t="str">
        <f>IF(ISERROR(VLOOKUP($C27,'START LİSTE'!$B$6:$F$1025,2,0)),"",VLOOKUP($C27,'START LİSTE'!$B$6:$F$1025,2,0))</f>
        <v>EMRE DOĞAN</v>
      </c>
      <c r="E27" s="137" t="str">
        <f>IF(ISERROR(VLOOKUP($C27,'START LİSTE'!$B$6:$F$1025,4,0)),"",VLOOKUP($C27,'START LİSTE'!$B$6:$F$1025,4,0))</f>
        <v>T</v>
      </c>
      <c r="F27" s="138">
        <f>IF(ISERROR(VLOOKUP($C27,'FERDİ SONUÇ'!$B$6:$H$1069,6,0)),"",VLOOKUP($C27,'FERDİ SONUÇ'!$B$6:$H$1069,6,0))</f>
        <v>0</v>
      </c>
      <c r="G27" s="139">
        <f>IF(OR(E27="",F27="DQ",F27="DNF",F27="DNS",F27=""),"-",VLOOKUP(C27,'FERDİ SONUÇ'!$B$6:$H$1069,7,0))</f>
        <v>16</v>
      </c>
      <c r="H27" s="105"/>
      <c r="I27" s="105"/>
      <c r="J27" s="105"/>
      <c r="K27" s="19"/>
    </row>
    <row r="28" spans="1:11" ht="15.75">
      <c r="A28" s="133">
        <f>IF(ISERROR(SMALL('TAKIM KAYIT'!$A$6:$A$125,1)),"",SMALL('TAKIM KAYIT'!$A$6:$A$125,6))</f>
        <v>6</v>
      </c>
      <c r="B28" s="134" t="str">
        <f>IF(A28="","",VLOOKUP(A28,'TAKIM KAYIT'!$A$6:$O$1250,3,0))</f>
        <v>KIRŞEHİR - BELEDİYE GENÇLİK SP. K.</v>
      </c>
      <c r="C28" s="135">
        <f>IF(A28="","",VLOOKUP(A28,'TAKIM KAYIT'!$B$6:$O$125,3,FALSE))</f>
        <v>460</v>
      </c>
      <c r="D28" s="136" t="str">
        <f>IF(ISERROR(VLOOKUP($C28,'START LİSTE'!$B$6:$F$1025,2,0)),"",VLOOKUP($C28,'START LİSTE'!$B$6:$F$1025,2,0))</f>
        <v>UMUT BİNİCİ</v>
      </c>
      <c r="E28" s="137" t="str">
        <f>IF(ISERROR(VLOOKUP($C28,'START LİSTE'!$B$6:$F$1025,4,0)),"",VLOOKUP($C28,'START LİSTE'!$B$6:$F$1025,4,0))</f>
        <v>T</v>
      </c>
      <c r="F28" s="138">
        <f>IF(ISERROR(VLOOKUP($C28,'FERDİ SONUÇ'!$B$6:$H$1069,6,0)),"",VLOOKUP($C28,'FERDİ SONUÇ'!$B$6:$H$1069,6,0))</f>
        <v>0</v>
      </c>
      <c r="G28" s="139">
        <f>IF(OR(E28="",F28="DQ",F28="DNF",F28="DNS",F28=""),"-",VLOOKUP(C28,'FERDİ SONUÇ'!$B$6:$H$1069,7,0))</f>
        <v>13</v>
      </c>
      <c r="H28" s="20">
        <f>IF(A28="","",VLOOKUP(A28,'TAKIM KAYIT'!$A$6:$T$1250,11,0))</f>
        <v>0</v>
      </c>
      <c r="I28" s="20">
        <f>IF(A28="","",VLOOKUP(A28,'TAKIM KAYIT'!$A$6:$T$1250,12,0))</f>
        <v>0</v>
      </c>
      <c r="J28" s="103">
        <f>IF(A28="","",VLOOKUP(A28,'TAKIM KAYIT'!$A$6:$T$1250,13,0))</f>
        <v>0</v>
      </c>
      <c r="K28" s="20">
        <f>IF(A28="","",VLOOKUP(A28,'TAKIM KAYIT'!$A$6:$T$1250,15,0))</f>
        <v>0</v>
      </c>
    </row>
    <row r="29" spans="1:11" ht="14.25">
      <c r="A29" s="133"/>
      <c r="B29" s="134"/>
      <c r="C29" s="135">
        <f>IF(A28="","",INDEX('TAKIM KAYIT'!$D$6:$D$125,MATCH(C28,'TAKIM KAYIT'!$D$6:$D$125,0)+1))</f>
        <v>0</v>
      </c>
      <c r="D29" s="136">
        <f>IF(ISERROR(VLOOKUP($C29,'START LİSTE'!$B$6:$F$1025,2,0)),"",VLOOKUP($C29,'START LİSTE'!$B$6:$F$1025,2,0))</f>
      </c>
      <c r="E29" s="137">
        <f>IF(ISERROR(VLOOKUP($C29,'START LİSTE'!$B$6:$F$1025,4,0)),"",VLOOKUP($C29,'START LİSTE'!$B$6:$F$1025,4,0))</f>
      </c>
      <c r="F29" s="138">
        <f>IF(ISERROR(VLOOKUP($C29,'FERDİ SONUÇ'!$B$6:$H$1069,6,0)),"",VLOOKUP($C29,'FERDİ SONUÇ'!$B$6:$H$1069,6,0))</f>
      </c>
      <c r="G29" s="139" t="str">
        <f>IF(OR(E29="",F29="DQ",F29="DNF",F29="DNS",F29=""),"-",VLOOKUP(C29,'FERDİ SONUÇ'!$B$6:$H$1069,7,0))</f>
        <v>-</v>
      </c>
      <c r="H29" s="105"/>
      <c r="I29" s="105"/>
      <c r="J29" s="105"/>
      <c r="K29" s="19"/>
    </row>
    <row r="30" spans="1:11" ht="14.25">
      <c r="A30" s="126"/>
      <c r="B30" s="127"/>
      <c r="C30" s="128">
        <f>IF(A32="","",INDEX('TAKIM KAYIT'!$D$6:$D$125,MATCH(C32,'TAKIM KAYIT'!$D$6:$D$125,0)-2))</f>
        <v>434</v>
      </c>
      <c r="D30" s="129" t="str">
        <f>IF(ISERROR(VLOOKUP($C30,'START LİSTE'!$B$6:$F$1025,2,0)),"",VLOOKUP($C30,'START LİSTE'!$B$6:$F$1025,2,0))</f>
        <v>BURAK YİĞİT</v>
      </c>
      <c r="E30" s="130" t="str">
        <f>IF(ISERROR(VLOOKUP($C30,'START LİSTE'!$B$6:$F$1025,4,0)),"",VLOOKUP($C30,'START LİSTE'!$B$6:$F$1025,4,0))</f>
        <v>T</v>
      </c>
      <c r="F30" s="131">
        <f>IF(ISERROR(VLOOKUP($C30,'FERDİ SONUÇ'!$B$6:$H$1069,6,0)),"",VLOOKUP($C30,'FERDİ SONUÇ'!$B$6:$H$1069,6,0))</f>
        <v>0</v>
      </c>
      <c r="G30" s="132">
        <f>IF(OR(E30="",F30="DQ",F30="DNF",F30="DNS",F30=""),"-",VLOOKUP(C30,'FERDİ SONUÇ'!$B$6:$H$1069,7,0))</f>
        <v>18</v>
      </c>
      <c r="H30" s="104"/>
      <c r="I30" s="104"/>
      <c r="J30" s="104"/>
      <c r="K30" s="12"/>
    </row>
    <row r="31" spans="1:11" ht="14.25">
      <c r="A31" s="133"/>
      <c r="B31" s="134"/>
      <c r="C31" s="135">
        <f>IF(A32="","",INDEX('TAKIM KAYIT'!$D$6:$D$125,MATCH(C32,'TAKIM KAYIT'!$D$6:$D$125,0)-1))</f>
        <v>435</v>
      </c>
      <c r="D31" s="136" t="str">
        <f>IF(ISERROR(VLOOKUP($C31,'START LİSTE'!$B$6:$F$1025,2,0)),"",VLOOKUP($C31,'START LİSTE'!$B$6:$F$1025,2,0))</f>
        <v>EYÜP TUMBUL</v>
      </c>
      <c r="E31" s="137" t="str">
        <f>IF(ISERROR(VLOOKUP($C31,'START LİSTE'!$B$6:$F$1025,4,0)),"",VLOOKUP($C31,'START LİSTE'!$B$6:$F$1025,4,0))</f>
        <v>T</v>
      </c>
      <c r="F31" s="138">
        <f>IF(ISERROR(VLOOKUP($C31,'FERDİ SONUÇ'!$B$6:$H$1069,6,0)),"",VLOOKUP($C31,'FERDİ SONUÇ'!$B$6:$H$1069,6,0))</f>
        <v>0</v>
      </c>
      <c r="G31" s="139">
        <f>IF(OR(E31="",F31="DQ",F31="DNF",F31="DNS",F31=""),"-",VLOOKUP(C31,'FERDİ SONUÇ'!$B$6:$H$1069,7,0))</f>
        <v>28</v>
      </c>
      <c r="H31" s="105"/>
      <c r="I31" s="105"/>
      <c r="J31" s="105"/>
      <c r="K31" s="19"/>
    </row>
    <row r="32" spans="1:11" ht="15.75">
      <c r="A32" s="133">
        <f>IF(ISERROR(SMALL('TAKIM KAYIT'!$A$6:$A$125,1)),"",SMALL('TAKIM KAYIT'!$A$6:$A$125,7))</f>
        <v>7</v>
      </c>
      <c r="B32" s="134" t="str">
        <f>IF(A32="","",VLOOKUP(A32,'TAKIM KAYIT'!$A$6:$O$1250,3,0))</f>
        <v>KIRŞEHİR- KIRŞEHİR LİSESİ S. KLB</v>
      </c>
      <c r="C32" s="135">
        <f>IF(A32="","",VLOOKUP(A32,'TAKIM KAYIT'!$B$6:$O$125,3,FALSE))</f>
        <v>436</v>
      </c>
      <c r="D32" s="136" t="str">
        <f>IF(ISERROR(VLOOKUP($C32,'START LİSTE'!$B$6:$F$1025,2,0)),"",VLOOKUP($C32,'START LİSTE'!$B$6:$F$1025,2,0))</f>
        <v>EMRE ÜNALAN</v>
      </c>
      <c r="E32" s="137" t="str">
        <f>IF(ISERROR(VLOOKUP($C32,'START LİSTE'!$B$6:$F$1025,4,0)),"",VLOOKUP($C32,'START LİSTE'!$B$6:$F$1025,4,0))</f>
        <v>T</v>
      </c>
      <c r="F32" s="138">
        <f>IF(ISERROR(VLOOKUP($C32,'FERDİ SONUÇ'!$B$6:$H$1069,6,0)),"",VLOOKUP($C32,'FERDİ SONUÇ'!$B$6:$H$1069,6,0))</f>
        <v>1007</v>
      </c>
      <c r="G32" s="139">
        <f>IF(OR(E32="",F32="DQ",F32="DNF",F32="DNS",F32=""),"-",VLOOKUP(C32,'FERDİ SONUÇ'!$B$6:$H$1069,7,0))</f>
        <v>11</v>
      </c>
      <c r="H32" s="20">
        <f>IF(A32="","",VLOOKUP(A32,'TAKIM KAYIT'!$A$6:$T$1250,11,0))</f>
        <v>0</v>
      </c>
      <c r="I32" s="20">
        <f>IF(A32="","",VLOOKUP(A32,'TAKIM KAYIT'!$A$6:$T$1250,12,0))</f>
        <v>0</v>
      </c>
      <c r="J32" s="103">
        <f>IF(A32="","",VLOOKUP(A32,'TAKIM KAYIT'!$A$6:$T$1250,13,0))</f>
        <v>0</v>
      </c>
      <c r="K32" s="20">
        <f>IF(A32="","",VLOOKUP(A32,'TAKIM KAYIT'!$A$6:$T$1250,15,0))</f>
        <v>0</v>
      </c>
    </row>
    <row r="33" spans="1:11" ht="14.25">
      <c r="A33" s="133"/>
      <c r="B33" s="134"/>
      <c r="C33" s="135">
        <f>IF(A32="","",INDEX('TAKIM KAYIT'!$D$6:$D$125,MATCH(C32,'TAKIM KAYIT'!$D$6:$D$125,0)+1))</f>
        <v>437</v>
      </c>
      <c r="D33" s="136" t="str">
        <f>IF(ISERROR(VLOOKUP($C33,'START LİSTE'!$B$6:$F$1025,2,0)),"",VLOOKUP($C33,'START LİSTE'!$B$6:$F$1025,2,0))</f>
        <v>SERKAN KOÇAN</v>
      </c>
      <c r="E33" s="137" t="str">
        <f>IF(ISERROR(VLOOKUP($C33,'START LİSTE'!$B$6:$F$1025,4,0)),"",VLOOKUP($C33,'START LİSTE'!$B$6:$F$1025,4,0))</f>
        <v>T</v>
      </c>
      <c r="F33" s="138">
        <f>IF(ISERROR(VLOOKUP($C33,'FERDİ SONUÇ'!$B$6:$H$1069,6,0)),"",VLOOKUP($C33,'FERDİ SONUÇ'!$B$6:$H$1069,6,0))</f>
        <v>0</v>
      </c>
      <c r="G33" s="139">
        <f>IF(OR(E33="",F33="DQ",F33="DNF",F33="DNS",F33=""),"-",VLOOKUP(C33,'FERDİ SONUÇ'!$B$6:$H$1069,7,0))</f>
        <v>24</v>
      </c>
      <c r="H33" s="105"/>
      <c r="I33" s="105"/>
      <c r="J33" s="105"/>
      <c r="K33" s="19"/>
    </row>
    <row r="34" spans="1:11" ht="14.25">
      <c r="A34" s="126"/>
      <c r="B34" s="127"/>
      <c r="C34" s="128">
        <f>IF(A36="","",INDEX('TAKIM KAYIT'!$D$6:$D$125,MATCH(C36,'TAKIM KAYIT'!$D$6:$D$125,0)-2))</f>
        <v>442</v>
      </c>
      <c r="D34" s="129" t="str">
        <f>IF(ISERROR(VLOOKUP($C34,'START LİSTE'!$B$6:$F$1025,2,0)),"",VLOOKUP($C34,'START LİSTE'!$B$6:$F$1025,2,0))</f>
        <v>FEVZİ ERSAN</v>
      </c>
      <c r="E34" s="130" t="str">
        <f>IF(ISERROR(VLOOKUP($C34,'START LİSTE'!$B$6:$F$1025,4,0)),"",VLOOKUP($C34,'START LİSTE'!$B$6:$F$1025,4,0))</f>
        <v>T</v>
      </c>
      <c r="F34" s="131">
        <f>IF(ISERROR(VLOOKUP($C34,'FERDİ SONUÇ'!$B$6:$H$1069,6,0)),"",VLOOKUP($C34,'FERDİ SONUÇ'!$B$6:$H$1069,6,0))</f>
        <v>0</v>
      </c>
      <c r="G34" s="132">
        <f>IF(OR(E34="",F34="DQ",F34="DNF",F34="DNS",F34=""),"-",VLOOKUP(C34,'FERDİ SONUÇ'!$B$6:$H$1069,7,0))</f>
        <v>27</v>
      </c>
      <c r="H34" s="104"/>
      <c r="I34" s="104"/>
      <c r="J34" s="104"/>
      <c r="K34" s="12"/>
    </row>
    <row r="35" spans="1:11" ht="14.25">
      <c r="A35" s="133"/>
      <c r="B35" s="134"/>
      <c r="C35" s="135">
        <f>IF(A36="","",INDEX('TAKIM KAYIT'!$D$6:$D$125,MATCH(C36,'TAKIM KAYIT'!$D$6:$D$125,0)-1))</f>
        <v>443</v>
      </c>
      <c r="D35" s="136" t="str">
        <f>IF(ISERROR(VLOOKUP($C35,'START LİSTE'!$B$6:$F$1025,2,0)),"",VLOOKUP($C35,'START LİSTE'!$B$6:$F$1025,2,0))</f>
        <v>SÜLEYMAN MAMAK</v>
      </c>
      <c r="E35" s="137" t="str">
        <f>IF(ISERROR(VLOOKUP($C35,'START LİSTE'!$B$6:$F$1025,4,0)),"",VLOOKUP($C35,'START LİSTE'!$B$6:$F$1025,4,0))</f>
        <v>T</v>
      </c>
      <c r="F35" s="138">
        <f>IF(ISERROR(VLOOKUP($C35,'FERDİ SONUÇ'!$B$6:$H$1069,6,0)),"",VLOOKUP($C35,'FERDİ SONUÇ'!$B$6:$H$1069,6,0))</f>
        <v>0</v>
      </c>
      <c r="G35" s="139" t="str">
        <f>IF(OR(E35="",F35="DQ",F35="DNF",F35="DNS",F35=""),"-",VLOOKUP(C35,'FERDİ SONUÇ'!$B$6:$H$1069,7,0))</f>
        <v>DNF</v>
      </c>
      <c r="H35" s="105"/>
      <c r="I35" s="105"/>
      <c r="J35" s="105"/>
      <c r="K35" s="19"/>
    </row>
    <row r="36" spans="1:11" ht="15.75">
      <c r="A36" s="133">
        <f>IF(ISERROR(SMALL('TAKIM KAYIT'!$A$6:$A$125,1)),"",SMALL('TAKIM KAYIT'!$A$6:$A$125,8))</f>
        <v>8</v>
      </c>
      <c r="B36" s="134" t="str">
        <f>IF(A36="","",VLOOKUP(A36,'TAKIM KAYIT'!$A$6:$O$1250,3,0))</f>
        <v>SİVAS-EĞİTİM SPOR</v>
      </c>
      <c r="C36" s="135">
        <f>IF(A36="","",VLOOKUP(A36,'TAKIM KAYIT'!$B$6:$O$125,3,FALSE))</f>
        <v>444</v>
      </c>
      <c r="D36" s="136" t="str">
        <f>IF(ISERROR(VLOOKUP($C36,'START LİSTE'!$B$6:$F$1025,2,0)),"",VLOOKUP($C36,'START LİSTE'!$B$6:$F$1025,2,0))</f>
        <v>HASAN ÇELİK</v>
      </c>
      <c r="E36" s="137" t="str">
        <f>IF(ISERROR(VLOOKUP($C36,'START LİSTE'!$B$6:$F$1025,4,0)),"",VLOOKUP($C36,'START LİSTE'!$B$6:$F$1025,4,0))</f>
        <v>T</v>
      </c>
      <c r="F36" s="138">
        <f>IF(ISERROR(VLOOKUP($C36,'FERDİ SONUÇ'!$B$6:$H$1069,6,0)),"",VLOOKUP($C36,'FERDİ SONUÇ'!$B$6:$H$1069,6,0))</f>
        <v>0</v>
      </c>
      <c r="G36" s="139">
        <f>IF(OR(E36="",F36="DQ",F36="DNF",F36="DNS",F36=""),"-",VLOOKUP(C36,'FERDİ SONUÇ'!$B$6:$H$1069,7,0))</f>
        <v>14</v>
      </c>
      <c r="H36" s="20">
        <f>IF(A36="","",VLOOKUP(A36,'TAKIM KAYIT'!$A$6:$T$1250,11,0))</f>
        <v>0</v>
      </c>
      <c r="I36" s="20">
        <f>IF(A36="","",VLOOKUP(A36,'TAKIM KAYIT'!$A$6:$T$1250,12,0))</f>
        <v>0</v>
      </c>
      <c r="J36" s="103">
        <f>IF(A36="","",VLOOKUP(A36,'TAKIM KAYIT'!$A$6:$T$1250,13,0))</f>
        <v>0</v>
      </c>
      <c r="K36" s="20">
        <f>IF(A36="","",VLOOKUP(A36,'TAKIM KAYIT'!$A$6:$T$1250,15,0))</f>
        <v>0</v>
      </c>
    </row>
    <row r="37" spans="1:11" ht="14.25">
      <c r="A37" s="133"/>
      <c r="B37" s="134"/>
      <c r="C37" s="135">
        <f>IF(A36="","",INDEX('TAKIM KAYIT'!$D$6:$D$125,MATCH(C36,'TAKIM KAYIT'!$D$6:$D$125,0)+1))</f>
        <v>445</v>
      </c>
      <c r="D37" s="136" t="str">
        <f>IF(ISERROR(VLOOKUP($C37,'START LİSTE'!$B$6:$F$1025,2,0)),"",VLOOKUP($C37,'START LİSTE'!$B$6:$F$1025,2,0))</f>
        <v>MAHİR DENİZ YİĞİT</v>
      </c>
      <c r="E37" s="137" t="str">
        <f>IF(ISERROR(VLOOKUP($C37,'START LİSTE'!$B$6:$F$1025,4,0)),"",VLOOKUP($C37,'START LİSTE'!$B$6:$F$1025,4,0))</f>
        <v>T</v>
      </c>
      <c r="F37" s="138">
        <f>IF(ISERROR(VLOOKUP($C37,'FERDİ SONUÇ'!$B$6:$H$1069,6,0)),"",VLOOKUP($C37,'FERDİ SONUÇ'!$B$6:$H$1069,6,0))</f>
        <v>0</v>
      </c>
      <c r="G37" s="139">
        <f>IF(OR(E37="",F37="DQ",F37="DNF",F37="DNS",F37=""),"-",VLOOKUP(C37,'FERDİ SONUÇ'!$B$6:$H$1069,7,0))</f>
        <v>25</v>
      </c>
      <c r="H37" s="105"/>
      <c r="I37" s="105"/>
      <c r="J37" s="105"/>
      <c r="K37" s="19"/>
    </row>
    <row r="38" spans="1:11" ht="14.25">
      <c r="A38" s="126"/>
      <c r="B38" s="127"/>
      <c r="C38" s="128">
        <f>IF(A40="","",INDEX('TAKIM KAYIT'!$D$6:$D$125,MATCH(C40,'TAKIM KAYIT'!$D$6:$D$125,0)-2))</f>
        <v>438</v>
      </c>
      <c r="D38" s="129" t="str">
        <f>IF(ISERROR(VLOOKUP($C38,'START LİSTE'!$B$6:$F$1025,2,0)),"",VLOOKUP($C38,'START LİSTE'!$B$6:$F$1025,2,0))</f>
        <v>MUSTAFA YILMAZ</v>
      </c>
      <c r="E38" s="130" t="str">
        <f>IF(ISERROR(VLOOKUP($C38,'START LİSTE'!$B$6:$F$1025,4,0)),"",VLOOKUP($C38,'START LİSTE'!$B$6:$F$1025,4,0))</f>
        <v>T</v>
      </c>
      <c r="F38" s="131">
        <f>IF(ISERROR(VLOOKUP($C38,'FERDİ SONUÇ'!$B$6:$H$1069,6,0)),"",VLOOKUP($C38,'FERDİ SONUÇ'!$B$6:$H$1069,6,0))</f>
        <v>0</v>
      </c>
      <c r="G38" s="132">
        <f>IF(OR(E38="",F38="DQ",F38="DNF",F38="DNS",F38=""),"-",VLOOKUP(C38,'FERDİ SONUÇ'!$B$6:$H$1069,7,0))</f>
        <v>26</v>
      </c>
      <c r="H38" s="104"/>
      <c r="I38" s="104"/>
      <c r="J38" s="104"/>
      <c r="K38" s="12"/>
    </row>
    <row r="39" spans="1:11" ht="14.25">
      <c r="A39" s="133"/>
      <c r="B39" s="134"/>
      <c r="C39" s="135">
        <f>IF(A40="","",INDEX('TAKIM KAYIT'!$D$6:$D$125,MATCH(C40,'TAKIM KAYIT'!$D$6:$D$125,0)-1))</f>
        <v>439</v>
      </c>
      <c r="D39" s="136" t="str">
        <f>IF(ISERROR(VLOOKUP($C39,'START LİSTE'!$B$6:$F$1025,2,0)),"",VLOOKUP($C39,'START LİSTE'!$B$6:$F$1025,2,0))</f>
        <v>CEBRAİL CEYLAN</v>
      </c>
      <c r="E39" s="137" t="str">
        <f>IF(ISERROR(VLOOKUP($C39,'START LİSTE'!$B$6:$F$1025,4,0)),"",VLOOKUP($C39,'START LİSTE'!$B$6:$F$1025,4,0))</f>
        <v>T</v>
      </c>
      <c r="F39" s="138">
        <f>IF(ISERROR(VLOOKUP($C39,'FERDİ SONUÇ'!$B$6:$H$1069,6,0)),"",VLOOKUP($C39,'FERDİ SONUÇ'!$B$6:$H$1069,6,0))</f>
        <v>0</v>
      </c>
      <c r="G39" s="139">
        <f>IF(OR(E39="",F39="DQ",F39="DNF",F39="DNS",F39=""),"-",VLOOKUP(C39,'FERDİ SONUÇ'!$B$6:$H$1069,7,0))</f>
        <v>30</v>
      </c>
      <c r="H39" s="105"/>
      <c r="I39" s="105"/>
      <c r="J39" s="105"/>
      <c r="K39" s="19"/>
    </row>
    <row r="40" spans="1:11" ht="15.75">
      <c r="A40" s="133">
        <f>IF(ISERROR(SMALL('TAKIM KAYIT'!$A$6:$A$125,1)),"",SMALL('TAKIM KAYIT'!$A$6:$A$125,9))</f>
        <v>9</v>
      </c>
      <c r="B40" s="134" t="str">
        <f>IF(A40="","",VLOOKUP(A40,'TAKIM KAYIT'!$A$6:$O$1250,3,0))</f>
        <v>KONYA EREĞLİ ŞEKER SPOR</v>
      </c>
      <c r="C40" s="135">
        <f>IF(A40="","",VLOOKUP(A40,'TAKIM KAYIT'!$B$6:$O$125,3,FALSE))</f>
        <v>440</v>
      </c>
      <c r="D40" s="136" t="str">
        <f>IF(ISERROR(VLOOKUP($C40,'START LİSTE'!$B$6:$F$1025,2,0)),"",VLOOKUP($C40,'START LİSTE'!$B$6:$F$1025,2,0))</f>
        <v>YUNUS EMRE BALDEDE</v>
      </c>
      <c r="E40" s="137" t="str">
        <f>IF(ISERROR(VLOOKUP($C40,'START LİSTE'!$B$6:$F$1025,4,0)),"",VLOOKUP($C40,'START LİSTE'!$B$6:$F$1025,4,0))</f>
        <v>T</v>
      </c>
      <c r="F40" s="138">
        <f>IF(ISERROR(VLOOKUP($C40,'FERDİ SONUÇ'!$B$6:$H$1069,6,0)),"",VLOOKUP($C40,'FERDİ SONUÇ'!$B$6:$H$1069,6,0))</f>
        <v>0</v>
      </c>
      <c r="G40" s="139" t="str">
        <f>IF(OR(E40="",F40="DQ",F40="DNF",F40="DNS",F40=""),"-",VLOOKUP(C40,'FERDİ SONUÇ'!$B$6:$H$1069,7,0))</f>
        <v>DNF</v>
      </c>
      <c r="H40" s="20">
        <f>IF(A40="","",VLOOKUP(A40,'TAKIM KAYIT'!$A$6:$T$1250,11,0))</f>
        <v>0</v>
      </c>
      <c r="I40" s="20">
        <f>IF(A40="","",VLOOKUP(A40,'TAKIM KAYIT'!$A$6:$T$1250,12,0))</f>
        <v>0</v>
      </c>
      <c r="J40" s="103">
        <f>IF(A40="","",VLOOKUP(A40,'TAKIM KAYIT'!$A$6:$T$1250,13,0))</f>
        <v>0</v>
      </c>
      <c r="K40" s="20">
        <f>IF(A40="","",VLOOKUP(A40,'TAKIM KAYIT'!$A$6:$T$1250,15,0))</f>
        <v>0</v>
      </c>
    </row>
    <row r="41" spans="1:11" ht="14.25">
      <c r="A41" s="133"/>
      <c r="B41" s="134"/>
      <c r="C41" s="135">
        <f>IF(A40="","",INDEX('TAKIM KAYIT'!$D$6:$D$125,MATCH(C40,'TAKIM KAYIT'!$D$6:$D$125,0)+1))</f>
        <v>441</v>
      </c>
      <c r="D41" s="136" t="str">
        <f>IF(ISERROR(VLOOKUP($C41,'START LİSTE'!$B$6:$F$1025,2,0)),"",VLOOKUP($C41,'START LİSTE'!$B$6:$F$1025,2,0))</f>
        <v>ONUR UÇAR</v>
      </c>
      <c r="E41" s="137" t="str">
        <f>IF(ISERROR(VLOOKUP($C41,'START LİSTE'!$B$6:$F$1025,4,0)),"",VLOOKUP($C41,'START LİSTE'!$B$6:$F$1025,4,0))</f>
        <v>T</v>
      </c>
      <c r="F41" s="138">
        <f>IF(ISERROR(VLOOKUP($C41,'FERDİ SONUÇ'!$B$6:$H$1069,6,0)),"",VLOOKUP($C41,'FERDİ SONUÇ'!$B$6:$H$1069,6,0))</f>
        <v>0</v>
      </c>
      <c r="G41" s="139">
        <f>IF(OR(E41="",F41="DQ",F41="DNF",F41="DNS",F41=""),"-",VLOOKUP(C41,'FERDİ SONUÇ'!$B$6:$H$1069,7,0))</f>
        <v>29</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52" stopIfTrue="1">
      <formula>AND(COUNTIF($B$5:$B$5,B5)&gt;1,NOT(ISBLANK(B5)))</formula>
    </cfRule>
  </conditionalFormatting>
  <conditionalFormatting sqref="A6:A7 A9:A125">
    <cfRule type="cellIs" priority="134" dxfId="653" operator="greaterThan">
      <formula>1000</formula>
    </cfRule>
    <cfRule type="cellIs" priority="135" dxfId="652"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53" operator="greaterThan">
      <formula>1000</formula>
    </cfRule>
    <cfRule type="cellIs" priority="31" dxfId="652"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53"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2014-10-12T08:19:31Z</cp:lastPrinted>
  <dcterms:created xsi:type="dcterms:W3CDTF">2008-08-11T14:10:37Z</dcterms:created>
  <dcterms:modified xsi:type="dcterms:W3CDTF">2014-10-15T09:46:47Z</dcterms:modified>
  <cp:category/>
  <cp:version/>
  <cp:contentType/>
  <cp:contentStatus/>
</cp:coreProperties>
</file>