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485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SONUÇ'!$A$1:$H$41</definedName>
    <definedName name="_xlnm.Print_Area" localSheetId="5">'FİNAL'!$A$1:$K$125</definedName>
    <definedName name="_xlnm.Print_Area" localSheetId="1">'START LİSTE'!$A$1:$F$41</definedName>
    <definedName name="_xlnm.Print_Area" localSheetId="3">'TAKIM KAYIT'!$A$1:$O$41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<sst xmlns="http://schemas.openxmlformats.org/spreadsheetml/2006/main" count="174" uniqueCount="78">
  <si>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</si>
  <si>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</si>
  <si>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</si>
  <si>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</si>
  <si>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</si>
  <si>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</si>
  <si>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</si>
  <si>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</si>
  <si>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</si>
  <si>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</si>
  <si>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</si>
  <si>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</si>
  <si>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</si>
  <si>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</si>
  <si>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</si>
  <si>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</si>
  <si>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</si>
  <si>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</si>
  <si>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</si>
  <si>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</si>
  <si>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</si>
  <si>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</si>
  <si>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</si>
  <si>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</si>
  <si>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Yıldız Erkekler</t>
  </si>
  <si>
    <t>Sporcu Sayısı</t>
  </si>
  <si>
    <t>Takım Sayısı</t>
  </si>
  <si>
    <t>Küçükler ve Yıldızlar Bölgesel Kros Ligi 2.Kademe Yarışmaları</t>
  </si>
  <si>
    <t>Ankara</t>
  </si>
  <si>
    <t>HÜSEYİN  BOZKUŞ</t>
  </si>
  <si>
    <t>KONYA EREĞLİ ŞEKER SPOR</t>
  </si>
  <si>
    <t>T</t>
  </si>
  <si>
    <t>YUNUS  ÖLGER</t>
  </si>
  <si>
    <t>NECATİ BİNGÖL</t>
  </si>
  <si>
    <t>BURAK YİĞİT</t>
  </si>
  <si>
    <t>SİVAS-EĞİTİM SPOR</t>
  </si>
  <si>
    <t>EYÜP TUMBUL</t>
  </si>
  <si>
    <t>EMRE ÜNALAN</t>
  </si>
  <si>
    <t>SERKAN KOÇAN</t>
  </si>
  <si>
    <t>MUSTAFA YILMAZ</t>
  </si>
  <si>
    <t>KIRŞEHİR- KIRŞEHİR LİSESİ S. KLB</t>
  </si>
  <si>
    <t>CEBRAİL CEYLAN</t>
  </si>
  <si>
    <t>YUNUS EMRE BALDEDE</t>
  </si>
  <si>
    <t>ONUR UÇAR</t>
  </si>
  <si>
    <t>FEVZİ ERSAN</t>
  </si>
  <si>
    <t>KIRŞEHİR - BELEDİYE GENÇLİK SP. K.</t>
  </si>
  <si>
    <t>HASAN ÇELİK</t>
  </si>
  <si>
    <t>MAHİR DENİZ YİĞİT</t>
  </si>
  <si>
    <t>NEVŞEHİR 100.YIL ÜLFET BAŞER İO SP. KLB.</t>
  </si>
  <si>
    <t>FATİH SABAN</t>
  </si>
  <si>
    <t>FURKAN AÇIKGÖZ</t>
  </si>
  <si>
    <t>MUSTAFA SOYLU</t>
  </si>
  <si>
    <t>BEKİR KABADAYI </t>
  </si>
  <si>
    <t>ANKARA-BB ANKARASPOR</t>
  </si>
  <si>
    <t>OĞUZHAN  FURKAN DEDE</t>
  </si>
  <si>
    <t>OĞUZHAN TAŞDEMİR</t>
  </si>
  <si>
    <t>EDİP ERÇİN</t>
  </si>
  <si>
    <t>NEVŞEHİR GHSİM S.K</t>
  </si>
  <si>
    <t>FURKAN GÜVERCİNLİ</t>
  </si>
  <si>
    <t>ZEKERYA KOCATEPE</t>
  </si>
  <si>
    <t>HAKAN KÖSTEKÇİ</t>
  </si>
  <si>
    <t>AHAT KARATAŞ</t>
  </si>
  <si>
    <t>SPORCU EĞİTİM MERKEZİGENÇLİK VE SPOR KÜLÜBÜ</t>
  </si>
  <si>
    <t>EMRE DOĞAN</t>
  </si>
  <si>
    <t>UMUT BİNİCİ</t>
  </si>
  <si>
    <t>OĞUZHAN OLKUN</t>
  </si>
  <si>
    <t>ESKİŞEHİR BÜYÜKŞEHİR G.S.K</t>
  </si>
  <si>
    <t>YUSUF PEKTAŞ</t>
  </si>
  <si>
    <t>HÜSEYİN KARACA</t>
  </si>
  <si>
    <t>M.CAN ADACIL</t>
  </si>
  <si>
    <t>RAMAZAN ÇELİK</t>
  </si>
  <si>
    <t>ÖZCAN ÇİFTÇİ</t>
  </si>
  <si>
    <t>DERVİŞ GÖRGEÇ</t>
  </si>
  <si>
    <t>SEFA DUMAN</t>
  </si>
  <si>
    <t>FURKAN KILINÇ   (PROTESTOLU)</t>
  </si>
  <si>
    <t>DNF</t>
  </si>
  <si>
    <t>DNS</t>
  </si>
  <si>
    <t>2.5 km.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</si>
</sst>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9" fillId="26" borderId="24" xfId="0" applyNumberFormat="1" applyFont="1" applyFill="1" applyBorder="1" applyAlignment="1">
      <alignment horizontal="center" vertical="center"/>
    </xf>
    <xf numFmtId="184" fontId="49" fillId="26" borderId="24" xfId="0" applyNumberFormat="1" applyFont="1" applyFill="1" applyBorder="1" applyAlignment="1">
      <alignment vertical="center"/>
    </xf>
    <xf numFmtId="181" fontId="49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6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2" fillId="28" borderId="26" xfId="0" applyFont="1" applyFill="1" applyBorder="1" applyAlignment="1" applyProtection="1">
      <alignment horizontal="right" vertical="center" wrapText="1"/>
      <protection hidden="1"/>
    </xf>
    <xf numFmtId="0" fontId="52" fillId="28" borderId="26" xfId="0" applyFont="1" applyFill="1" applyBorder="1" applyAlignment="1" applyProtection="1">
      <alignment horizontal="right" vertical="center"/>
      <protection hidden="1"/>
    </xf>
    <xf numFmtId="0" fontId="52" fillId="28" borderId="28" xfId="0" applyFont="1" applyFill="1" applyBorder="1" applyAlignment="1" applyProtection="1">
      <alignment horizontal="right" vertical="center" wrapText="1"/>
      <protection hidden="1"/>
    </xf>
    <xf numFmtId="0" fontId="53" fillId="27" borderId="26" xfId="0" applyFont="1" applyFill="1" applyBorder="1" applyAlignment="1" applyProtection="1">
      <alignment horizontal="right" vertical="center" wrapText="1"/>
      <protection hidden="1"/>
    </xf>
    <xf numFmtId="181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4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5" fillId="29" borderId="0" xfId="0" applyNumberFormat="1" applyFont="1" applyFill="1" applyAlignment="1" applyProtection="1">
      <alignment vertical="center" wrapText="1"/>
      <protection hidden="1"/>
    </xf>
    <xf numFmtId="187" fontId="55" fillId="29" borderId="0" xfId="0" applyNumberFormat="1" applyFont="1" applyFill="1" applyAlignment="1" applyProtection="1">
      <alignment vertical="center" wrapText="1"/>
      <protection hidden="1"/>
    </xf>
    <xf numFmtId="181" fontId="49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9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87" fontId="57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187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49" fillId="31" borderId="12" xfId="0" applyNumberFormat="1" applyFont="1" applyFill="1" applyBorder="1" applyAlignment="1" applyProtection="1">
      <alignment horizontal="center" vertical="center"/>
      <protection locked="0"/>
    </xf>
    <xf numFmtId="1" fontId="49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0" fillId="28" borderId="49" xfId="0" applyNumberFormat="1" applyFont="1" applyFill="1" applyBorder="1" applyAlignment="1" applyProtection="1">
      <alignment vertical="center" wrapText="1"/>
      <protection locked="0"/>
    </xf>
    <xf numFmtId="0" fontId="57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1" fillId="0" borderId="4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2" fillId="28" borderId="50" xfId="0" applyFont="1" applyFill="1" applyBorder="1" applyAlignment="1" applyProtection="1">
      <alignment horizontal="left" vertical="center" wrapText="1"/>
      <protection locked="0"/>
    </xf>
    <xf numFmtId="0" fontId="62" fillId="28" borderId="49" xfId="0" applyFont="1" applyFill="1" applyBorder="1" applyAlignment="1" applyProtection="1">
      <alignment horizontal="left" vertical="center" wrapText="1"/>
      <protection locked="0"/>
    </xf>
    <xf numFmtId="184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7" xfId="0" applyFont="1" applyFill="1" applyBorder="1" applyAlignment="1" applyProtection="1">
      <alignment horizontal="center" vertical="center"/>
      <protection locked="0"/>
    </xf>
    <xf numFmtId="0" fontId="63" fillId="27" borderId="26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/>
      <protection hidden="1"/>
    </xf>
    <xf numFmtId="0" fontId="49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80" fontId="64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5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center" vertical="center"/>
    </xf>
    <xf numFmtId="181" fontId="49" fillId="26" borderId="24" xfId="0" applyNumberFormat="1" applyFont="1" applyFill="1" applyBorder="1" applyAlignment="1" applyProtection="1">
      <alignment horizontal="left" vertical="center"/>
      <protection hidden="1"/>
    </xf>
    <xf numFmtId="184" fontId="49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5" fillId="29" borderId="0" xfId="0" applyNumberFormat="1" applyFont="1" applyFill="1" applyAlignment="1" applyProtection="1">
      <alignment horizontal="center" vertical="center" wrapText="1"/>
      <protection hidden="1"/>
    </xf>
    <xf numFmtId="181" fontId="49" fillId="29" borderId="24" xfId="0" applyNumberFormat="1" applyFont="1" applyFill="1" applyBorder="1" applyAlignment="1" applyProtection="1">
      <alignment horizontal="center" vertical="center"/>
      <protection hidden="1"/>
    </xf>
    <xf numFmtId="184" fontId="49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361950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B26" sqref="B26:C26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58" t="s">
        <v>18</v>
      </c>
      <c r="B1" s="159"/>
      <c r="C1" s="160"/>
    </row>
    <row r="2" spans="1:5" ht="28.5" customHeight="1">
      <c r="A2" s="161" t="str">
        <f>CONCATENATE(B27," ","Atletizm İl Temsilciliği")</f>
        <v>Ankara Atletizm İl Temsilciliği</v>
      </c>
      <c r="B2" s="162"/>
      <c r="C2" s="163"/>
      <c r="D2" s="63"/>
      <c r="E2" s="63"/>
    </row>
    <row r="3" spans="1:5" ht="24.75" customHeight="1">
      <c r="A3" s="164"/>
      <c r="B3" s="165"/>
      <c r="C3" s="166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67" t="str">
        <f>B24</f>
        <v>Küçükler ve Yıldızlar Bölgesel Kros Ligi 2.Kademe Yarışmaları</v>
      </c>
      <c r="B18" s="168"/>
      <c r="C18" s="169"/>
    </row>
    <row r="19" spans="1:3" ht="31.5" customHeight="1">
      <c r="A19" s="170"/>
      <c r="B19" s="168"/>
      <c r="C19" s="169"/>
    </row>
    <row r="20" spans="1:3" ht="25.5" customHeight="1">
      <c r="A20" s="69"/>
      <c r="B20" s="70" t="str">
        <f>B27</f>
        <v>Ankara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0" customHeight="1">
      <c r="A24" s="76" t="s">
        <v>10</v>
      </c>
      <c r="B24" s="154" t="s">
        <v>27</v>
      </c>
      <c r="C24" s="155"/>
    </row>
    <row r="25" spans="1:3" ht="21" customHeight="1">
      <c r="A25" s="76" t="s">
        <v>11</v>
      </c>
      <c r="B25" s="154" t="s">
        <v>77</v>
      </c>
      <c r="C25" s="155"/>
    </row>
    <row r="26" spans="1:3" ht="21" customHeight="1">
      <c r="A26" s="77" t="s">
        <v>12</v>
      </c>
      <c r="B26" s="154" t="s">
        <v>24</v>
      </c>
      <c r="C26" s="155"/>
    </row>
    <row r="27" spans="1:3" ht="21" customHeight="1">
      <c r="A27" s="76" t="s">
        <v>13</v>
      </c>
      <c r="B27" s="154" t="s">
        <v>28</v>
      </c>
      <c r="C27" s="155"/>
    </row>
    <row r="28" spans="1:3" ht="21" customHeight="1">
      <c r="A28" s="78" t="s">
        <v>16</v>
      </c>
      <c r="B28" s="156">
        <v>41938.458333333336</v>
      </c>
      <c r="C28" s="157"/>
    </row>
    <row r="29" spans="1:3" ht="21" customHeight="1">
      <c r="A29" s="78" t="s">
        <v>25</v>
      </c>
      <c r="B29" s="143">
        <v>36</v>
      </c>
      <c r="C29" s="142"/>
    </row>
    <row r="30" spans="1:3" ht="21" customHeight="1">
      <c r="A30" s="78" t="s">
        <v>26</v>
      </c>
      <c r="B30" s="143">
        <v>9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9">
      <selection activeCell="D30" sqref="D30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44.375" style="57" bestFit="1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2" t="str">
        <f>KAPAK!A2</f>
        <v>Ankara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KAPAK!B24</f>
        <v>Küçükler ve Yıldızlar Bölgesel Kros Ligi 2.Kademe Yarışmaları</v>
      </c>
      <c r="B2" s="174"/>
      <c r="C2" s="174"/>
      <c r="D2" s="174"/>
      <c r="E2" s="174"/>
      <c r="F2" s="174"/>
    </row>
    <row r="3" spans="1:6" ht="15.75" customHeight="1">
      <c r="A3" s="175" t="str">
        <f>KAPAK!B27</f>
        <v>Ankara</v>
      </c>
      <c r="B3" s="175"/>
      <c r="C3" s="175"/>
      <c r="D3" s="175"/>
      <c r="E3" s="175"/>
      <c r="F3" s="175"/>
    </row>
    <row r="4" spans="1:6" ht="15.75" customHeight="1">
      <c r="A4" s="171" t="str">
        <f>KAPAK!B26</f>
        <v>Yıldız Erkekler</v>
      </c>
      <c r="B4" s="171"/>
      <c r="C4" s="171"/>
      <c r="D4" s="46" t="str">
        <f>KAPAK!B25</f>
        <v>2.5 km.</v>
      </c>
      <c r="E4" s="176">
        <f>KAPAK!B28</f>
        <v>41938.458333333336</v>
      </c>
      <c r="F4" s="176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  <c r="H5" s="48"/>
    </row>
    <row r="6" spans="1:6" ht="15" customHeight="1">
      <c r="A6" s="134">
        <v>1</v>
      </c>
      <c r="B6" s="135">
        <v>430</v>
      </c>
      <c r="C6" s="136" t="s">
        <v>29</v>
      </c>
      <c r="D6" s="136" t="s">
        <v>30</v>
      </c>
      <c r="E6" s="151" t="s">
        <v>31</v>
      </c>
      <c r="F6" s="138">
        <v>35497</v>
      </c>
    </row>
    <row r="7" spans="1:6" ht="15" customHeight="1">
      <c r="A7" s="49">
        <v>2</v>
      </c>
      <c r="B7" s="139">
        <v>431</v>
      </c>
      <c r="C7" s="50" t="s">
        <v>32</v>
      </c>
      <c r="D7" s="50" t="s">
        <v>30</v>
      </c>
      <c r="E7" s="152" t="s">
        <v>31</v>
      </c>
      <c r="F7" s="52">
        <v>35603</v>
      </c>
    </row>
    <row r="8" spans="1:6" ht="15" customHeight="1">
      <c r="A8" s="49">
        <v>3</v>
      </c>
      <c r="B8" s="139">
        <v>432</v>
      </c>
      <c r="C8" s="50" t="s">
        <v>33</v>
      </c>
      <c r="D8" s="50" t="s">
        <v>30</v>
      </c>
      <c r="E8" s="152" t="s">
        <v>31</v>
      </c>
      <c r="F8" s="52">
        <v>35516</v>
      </c>
    </row>
    <row r="9" spans="1:6" ht="15" customHeight="1" thickBot="1">
      <c r="A9" s="49">
        <v>4</v>
      </c>
      <c r="B9" s="140">
        <v>433</v>
      </c>
      <c r="C9" s="53" t="s">
        <v>69</v>
      </c>
      <c r="D9" s="53" t="s">
        <v>30</v>
      </c>
      <c r="E9" s="153" t="s">
        <v>31</v>
      </c>
      <c r="F9" s="55">
        <v>35870</v>
      </c>
    </row>
    <row r="10" spans="1:6" ht="15" customHeight="1">
      <c r="A10" s="49">
        <v>5</v>
      </c>
      <c r="B10" s="135">
        <v>434</v>
      </c>
      <c r="C10" s="136" t="s">
        <v>34</v>
      </c>
      <c r="D10" s="136" t="s">
        <v>35</v>
      </c>
      <c r="E10" s="151" t="s">
        <v>31</v>
      </c>
      <c r="F10" s="138">
        <v>36083</v>
      </c>
    </row>
    <row r="11" spans="1:6" ht="15" customHeight="1">
      <c r="A11" s="49">
        <v>6</v>
      </c>
      <c r="B11" s="139">
        <v>435</v>
      </c>
      <c r="C11" s="50" t="s">
        <v>36</v>
      </c>
      <c r="D11" s="50" t="s">
        <v>35</v>
      </c>
      <c r="E11" s="152" t="s">
        <v>31</v>
      </c>
      <c r="F11" s="52">
        <v>35920</v>
      </c>
    </row>
    <row r="12" spans="1:6" ht="15" customHeight="1">
      <c r="A12" s="49">
        <v>7</v>
      </c>
      <c r="B12" s="139">
        <v>436</v>
      </c>
      <c r="C12" s="50" t="s">
        <v>37</v>
      </c>
      <c r="D12" s="50" t="s">
        <v>35</v>
      </c>
      <c r="E12" s="152" t="s">
        <v>31</v>
      </c>
      <c r="F12" s="52">
        <v>35968</v>
      </c>
    </row>
    <row r="13" spans="1:6" ht="15" customHeight="1" thickBot="1">
      <c r="A13" s="49">
        <v>8</v>
      </c>
      <c r="B13" s="140">
        <v>437</v>
      </c>
      <c r="C13" s="53" t="s">
        <v>38</v>
      </c>
      <c r="D13" s="53" t="s">
        <v>35</v>
      </c>
      <c r="E13" s="153" t="s">
        <v>31</v>
      </c>
      <c r="F13" s="55">
        <v>35442</v>
      </c>
    </row>
    <row r="14" spans="1:6" ht="15" customHeight="1">
      <c r="A14" s="49">
        <v>9</v>
      </c>
      <c r="B14" s="135">
        <v>438</v>
      </c>
      <c r="C14" s="136" t="s">
        <v>39</v>
      </c>
      <c r="D14" s="136" t="s">
        <v>40</v>
      </c>
      <c r="E14" s="151" t="s">
        <v>31</v>
      </c>
      <c r="F14" s="138">
        <v>35718</v>
      </c>
    </row>
    <row r="15" spans="1:6" ht="15" customHeight="1">
      <c r="A15" s="49">
        <v>10</v>
      </c>
      <c r="B15" s="139">
        <v>439</v>
      </c>
      <c r="C15" s="50" t="s">
        <v>41</v>
      </c>
      <c r="D15" s="50" t="s">
        <v>40</v>
      </c>
      <c r="E15" s="152" t="s">
        <v>31</v>
      </c>
      <c r="F15" s="52">
        <v>35805</v>
      </c>
    </row>
    <row r="16" spans="1:6" ht="15" customHeight="1">
      <c r="A16" s="49">
        <v>11</v>
      </c>
      <c r="B16" s="139">
        <v>440</v>
      </c>
      <c r="C16" s="50" t="s">
        <v>42</v>
      </c>
      <c r="D16" s="50" t="s">
        <v>40</v>
      </c>
      <c r="E16" s="152" t="s">
        <v>31</v>
      </c>
      <c r="F16" s="52">
        <v>35899</v>
      </c>
    </row>
    <row r="17" spans="1:6" ht="15" customHeight="1" thickBot="1">
      <c r="A17" s="49">
        <v>12</v>
      </c>
      <c r="B17" s="140">
        <v>441</v>
      </c>
      <c r="C17" s="53" t="s">
        <v>43</v>
      </c>
      <c r="D17" s="53" t="s">
        <v>40</v>
      </c>
      <c r="E17" s="153" t="s">
        <v>31</v>
      </c>
      <c r="F17" s="55">
        <v>35566</v>
      </c>
    </row>
    <row r="18" spans="1:6" ht="15" customHeight="1">
      <c r="A18" s="49">
        <v>13</v>
      </c>
      <c r="B18" s="135">
        <v>442</v>
      </c>
      <c r="C18" s="136" t="s">
        <v>44</v>
      </c>
      <c r="D18" s="136" t="s">
        <v>45</v>
      </c>
      <c r="E18" s="151" t="s">
        <v>31</v>
      </c>
      <c r="F18" s="138">
        <v>35704</v>
      </c>
    </row>
    <row r="19" spans="1:6" ht="15" customHeight="1">
      <c r="A19" s="49">
        <v>14</v>
      </c>
      <c r="B19" s="139">
        <v>443</v>
      </c>
      <c r="C19" s="50" t="s">
        <v>72</v>
      </c>
      <c r="D19" s="50" t="s">
        <v>45</v>
      </c>
      <c r="E19" s="152" t="s">
        <v>31</v>
      </c>
      <c r="F19" s="52">
        <v>35609</v>
      </c>
    </row>
    <row r="20" spans="1:6" ht="15" customHeight="1">
      <c r="A20" s="49">
        <v>15</v>
      </c>
      <c r="B20" s="139">
        <v>444</v>
      </c>
      <c r="C20" s="50" t="s">
        <v>46</v>
      </c>
      <c r="D20" s="50" t="s">
        <v>45</v>
      </c>
      <c r="E20" s="152" t="s">
        <v>31</v>
      </c>
      <c r="F20" s="52">
        <v>35701</v>
      </c>
    </row>
    <row r="21" spans="1:6" ht="15" customHeight="1" thickBot="1">
      <c r="A21" s="49">
        <v>16</v>
      </c>
      <c r="B21" s="140">
        <v>445</v>
      </c>
      <c r="C21" s="53" t="s">
        <v>47</v>
      </c>
      <c r="D21" s="53" t="s">
        <v>45</v>
      </c>
      <c r="E21" s="153" t="s">
        <v>31</v>
      </c>
      <c r="F21" s="55">
        <v>35876</v>
      </c>
    </row>
    <row r="22" spans="1:6" ht="15" customHeight="1">
      <c r="A22" s="49">
        <v>17</v>
      </c>
      <c r="B22" s="135">
        <v>446</v>
      </c>
      <c r="C22" s="136" t="s">
        <v>70</v>
      </c>
      <c r="D22" s="136" t="s">
        <v>48</v>
      </c>
      <c r="E22" s="151" t="s">
        <v>31</v>
      </c>
      <c r="F22" s="138">
        <v>36159</v>
      </c>
    </row>
    <row r="23" spans="1:6" ht="15" customHeight="1">
      <c r="A23" s="49">
        <v>18</v>
      </c>
      <c r="B23" s="139">
        <v>447</v>
      </c>
      <c r="C23" s="50" t="s">
        <v>49</v>
      </c>
      <c r="D23" s="50" t="s">
        <v>48</v>
      </c>
      <c r="E23" s="152" t="s">
        <v>31</v>
      </c>
      <c r="F23" s="52">
        <v>35555</v>
      </c>
    </row>
    <row r="24" spans="1:6" ht="15" customHeight="1">
      <c r="A24" s="49">
        <v>19</v>
      </c>
      <c r="B24" s="139">
        <v>448</v>
      </c>
      <c r="C24" s="50" t="s">
        <v>50</v>
      </c>
      <c r="D24" s="50" t="s">
        <v>48</v>
      </c>
      <c r="E24" s="152" t="s">
        <v>31</v>
      </c>
      <c r="F24" s="52">
        <v>35490</v>
      </c>
    </row>
    <row r="25" spans="1:6" ht="15" customHeight="1" thickBot="1">
      <c r="A25" s="49">
        <v>20</v>
      </c>
      <c r="B25" s="140">
        <v>449</v>
      </c>
      <c r="C25" s="53" t="s">
        <v>51</v>
      </c>
      <c r="D25" s="53" t="s">
        <v>48</v>
      </c>
      <c r="E25" s="153" t="s">
        <v>31</v>
      </c>
      <c r="F25" s="55">
        <v>35525</v>
      </c>
    </row>
    <row r="26" spans="1:6" ht="15" customHeight="1">
      <c r="A26" s="49">
        <v>21</v>
      </c>
      <c r="B26" s="135">
        <v>450</v>
      </c>
      <c r="C26" s="136" t="s">
        <v>52</v>
      </c>
      <c r="D26" s="136" t="s">
        <v>53</v>
      </c>
      <c r="E26" s="137" t="s">
        <v>31</v>
      </c>
      <c r="F26" s="138">
        <v>35886</v>
      </c>
    </row>
    <row r="27" spans="1:6" ht="15" customHeight="1">
      <c r="A27" s="49">
        <v>22</v>
      </c>
      <c r="B27" s="139">
        <v>451</v>
      </c>
      <c r="C27" s="50" t="s">
        <v>54</v>
      </c>
      <c r="D27" s="50" t="s">
        <v>53</v>
      </c>
      <c r="E27" s="51" t="s">
        <v>31</v>
      </c>
      <c r="F27" s="52">
        <v>35529</v>
      </c>
    </row>
    <row r="28" spans="1:6" ht="15" customHeight="1">
      <c r="A28" s="49">
        <v>23</v>
      </c>
      <c r="B28" s="139">
        <v>452</v>
      </c>
      <c r="C28" s="50" t="s">
        <v>71</v>
      </c>
      <c r="D28" s="50" t="s">
        <v>53</v>
      </c>
      <c r="E28" s="51" t="s">
        <v>31</v>
      </c>
      <c r="F28" s="52">
        <v>35529</v>
      </c>
    </row>
    <row r="29" spans="1:6" ht="15" customHeight="1" thickBot="1">
      <c r="A29" s="49">
        <v>24</v>
      </c>
      <c r="B29" s="140">
        <v>453</v>
      </c>
      <c r="C29" s="53" t="s">
        <v>55</v>
      </c>
      <c r="D29" s="53" t="s">
        <v>53</v>
      </c>
      <c r="E29" s="54" t="s">
        <v>31</v>
      </c>
      <c r="F29" s="55">
        <v>35431</v>
      </c>
    </row>
    <row r="30" spans="1:6" ht="15" customHeight="1">
      <c r="A30" s="49">
        <v>25</v>
      </c>
      <c r="B30" s="135">
        <v>454</v>
      </c>
      <c r="C30" s="136" t="s">
        <v>56</v>
      </c>
      <c r="D30" s="136" t="s">
        <v>57</v>
      </c>
      <c r="E30" s="137" t="s">
        <v>31</v>
      </c>
      <c r="F30" s="138">
        <v>35491</v>
      </c>
    </row>
    <row r="31" spans="1:6" ht="15" customHeight="1">
      <c r="A31" s="49">
        <v>26</v>
      </c>
      <c r="B31" s="139">
        <v>455</v>
      </c>
      <c r="C31" s="50" t="s">
        <v>58</v>
      </c>
      <c r="D31" s="50" t="s">
        <v>57</v>
      </c>
      <c r="E31" s="51" t="s">
        <v>31</v>
      </c>
      <c r="F31" s="52">
        <v>35981</v>
      </c>
    </row>
    <row r="32" spans="1:6" ht="15" customHeight="1">
      <c r="A32" s="49">
        <v>27</v>
      </c>
      <c r="B32" s="139">
        <v>456</v>
      </c>
      <c r="C32" s="50" t="s">
        <v>59</v>
      </c>
      <c r="D32" s="50" t="s">
        <v>57</v>
      </c>
      <c r="E32" s="51" t="s">
        <v>31</v>
      </c>
      <c r="F32" s="52">
        <v>36024</v>
      </c>
    </row>
    <row r="33" spans="1:6" ht="15" customHeight="1" thickBot="1">
      <c r="A33" s="49">
        <v>28</v>
      </c>
      <c r="B33" s="140">
        <v>457</v>
      </c>
      <c r="C33" s="53" t="s">
        <v>60</v>
      </c>
      <c r="D33" s="53" t="s">
        <v>57</v>
      </c>
      <c r="E33" s="54" t="s">
        <v>31</v>
      </c>
      <c r="F33" s="55">
        <v>35972</v>
      </c>
    </row>
    <row r="34" spans="1:6" ht="15" customHeight="1">
      <c r="A34" s="49">
        <v>29</v>
      </c>
      <c r="B34" s="135">
        <v>458</v>
      </c>
      <c r="C34" s="136" t="s">
        <v>61</v>
      </c>
      <c r="D34" s="136" t="s">
        <v>62</v>
      </c>
      <c r="E34" s="137" t="s">
        <v>31</v>
      </c>
      <c r="F34" s="138">
        <v>35752</v>
      </c>
    </row>
    <row r="35" spans="1:6" ht="15" customHeight="1">
      <c r="A35" s="49">
        <v>30</v>
      </c>
      <c r="B35" s="139">
        <v>459</v>
      </c>
      <c r="C35" s="50" t="s">
        <v>63</v>
      </c>
      <c r="D35" s="50" t="s">
        <v>62</v>
      </c>
      <c r="E35" s="51" t="s">
        <v>31</v>
      </c>
      <c r="F35" s="52">
        <v>35622</v>
      </c>
    </row>
    <row r="36" spans="1:6" ht="15" customHeight="1">
      <c r="A36" s="49">
        <v>31</v>
      </c>
      <c r="B36" s="139">
        <v>460</v>
      </c>
      <c r="C36" s="50" t="s">
        <v>64</v>
      </c>
      <c r="D36" s="50" t="s">
        <v>62</v>
      </c>
      <c r="E36" s="51" t="s">
        <v>31</v>
      </c>
      <c r="F36" s="52">
        <v>36124</v>
      </c>
    </row>
    <row r="37" spans="1:6" ht="15" customHeight="1" thickBot="1">
      <c r="A37" s="49">
        <v>32</v>
      </c>
      <c r="B37" s="140">
        <v>461</v>
      </c>
      <c r="C37" s="53" t="s">
        <v>73</v>
      </c>
      <c r="D37" s="53" t="s">
        <v>62</v>
      </c>
      <c r="E37" s="54" t="s">
        <v>31</v>
      </c>
      <c r="F37" s="55">
        <v>35796</v>
      </c>
    </row>
    <row r="38" spans="1:6" ht="15" customHeight="1">
      <c r="A38" s="49">
        <v>33</v>
      </c>
      <c r="B38" s="135">
        <v>462</v>
      </c>
      <c r="C38" s="136" t="s">
        <v>65</v>
      </c>
      <c r="D38" s="136" t="s">
        <v>66</v>
      </c>
      <c r="E38" s="137" t="s">
        <v>31</v>
      </c>
      <c r="F38" s="138">
        <v>35937</v>
      </c>
    </row>
    <row r="39" spans="1:6" ht="15" customHeight="1">
      <c r="A39" s="49">
        <v>34</v>
      </c>
      <c r="B39" s="139">
        <v>463</v>
      </c>
      <c r="C39" s="50" t="s">
        <v>67</v>
      </c>
      <c r="D39" s="50" t="s">
        <v>66</v>
      </c>
      <c r="E39" s="51" t="s">
        <v>31</v>
      </c>
      <c r="F39" s="52">
        <v>35796</v>
      </c>
    </row>
    <row r="40" spans="1:6" ht="15" customHeight="1">
      <c r="A40" s="49">
        <v>35</v>
      </c>
      <c r="B40" s="139">
        <v>464</v>
      </c>
      <c r="C40" s="50" t="s">
        <v>68</v>
      </c>
      <c r="D40" s="50" t="s">
        <v>66</v>
      </c>
      <c r="E40" s="51" t="s">
        <v>31</v>
      </c>
      <c r="F40" s="52">
        <v>35709</v>
      </c>
    </row>
    <row r="41" spans="1:6" ht="15" customHeight="1" thickBot="1">
      <c r="A41" s="49">
        <v>36</v>
      </c>
      <c r="B41" s="140">
        <v>467</v>
      </c>
      <c r="C41" s="53" t="s">
        <v>74</v>
      </c>
      <c r="D41" s="53" t="s">
        <v>66</v>
      </c>
      <c r="E41" s="54" t="s">
        <v>31</v>
      </c>
      <c r="F41" s="55">
        <v>36027</v>
      </c>
    </row>
    <row r="42" spans="1:6" ht="15" customHeight="1">
      <c r="A42" s="49">
        <v>37</v>
      </c>
      <c r="B42" s="135"/>
      <c r="C42" s="136"/>
      <c r="D42" s="136"/>
      <c r="E42" s="137"/>
      <c r="F42" s="138"/>
    </row>
    <row r="43" spans="1:6" ht="15" customHeight="1">
      <c r="A43" s="49">
        <v>38</v>
      </c>
      <c r="B43" s="139"/>
      <c r="C43" s="50"/>
      <c r="D43" s="50"/>
      <c r="E43" s="51"/>
      <c r="F43" s="52"/>
    </row>
    <row r="44" spans="1:6" ht="15" customHeight="1">
      <c r="A44" s="49">
        <v>39</v>
      </c>
      <c r="B44" s="139"/>
      <c r="C44" s="50"/>
      <c r="D44" s="50"/>
      <c r="E44" s="51"/>
      <c r="F44" s="52"/>
    </row>
    <row r="45" spans="1:6" ht="15" customHeight="1" thickBot="1">
      <c r="A45" s="49">
        <v>40</v>
      </c>
      <c r="B45" s="140"/>
      <c r="C45" s="53"/>
      <c r="D45" s="53"/>
      <c r="E45" s="54"/>
      <c r="F45" s="55"/>
    </row>
    <row r="46" spans="1:6" ht="15" customHeight="1">
      <c r="A46" s="49">
        <v>41</v>
      </c>
      <c r="B46" s="135"/>
      <c r="C46" s="136"/>
      <c r="D46" s="136"/>
      <c r="E46" s="137"/>
      <c r="F46" s="138"/>
    </row>
    <row r="47" spans="1:6" ht="15" customHeight="1">
      <c r="A47" s="49">
        <v>42</v>
      </c>
      <c r="B47" s="139"/>
      <c r="C47" s="50"/>
      <c r="D47" s="50"/>
      <c r="E47" s="51"/>
      <c r="F47" s="52"/>
    </row>
    <row r="48" spans="1:6" ht="15" customHeight="1">
      <c r="A48" s="49">
        <v>43</v>
      </c>
      <c r="B48" s="139"/>
      <c r="C48" s="50"/>
      <c r="D48" s="50"/>
      <c r="E48" s="51"/>
      <c r="F48" s="52"/>
    </row>
    <row r="49" spans="1:6" ht="15" customHeight="1" thickBot="1">
      <c r="A49" s="49">
        <v>44</v>
      </c>
      <c r="B49" s="140"/>
      <c r="C49" s="53"/>
      <c r="D49" s="53"/>
      <c r="E49" s="54"/>
      <c r="F49" s="55"/>
    </row>
    <row r="50" spans="1:6" ht="15" customHeight="1">
      <c r="A50" s="49">
        <v>45</v>
      </c>
      <c r="B50" s="135"/>
      <c r="C50" s="136"/>
      <c r="D50" s="136"/>
      <c r="E50" s="137"/>
      <c r="F50" s="138"/>
    </row>
    <row r="51" spans="1:6" ht="15" customHeight="1">
      <c r="A51" s="49">
        <v>46</v>
      </c>
      <c r="B51" s="139"/>
      <c r="C51" s="50"/>
      <c r="D51" s="50"/>
      <c r="E51" s="51"/>
      <c r="F51" s="52"/>
    </row>
    <row r="52" spans="1:6" ht="15" customHeight="1">
      <c r="A52" s="49">
        <v>47</v>
      </c>
      <c r="B52" s="139"/>
      <c r="C52" s="50"/>
      <c r="D52" s="50"/>
      <c r="E52" s="51"/>
      <c r="F52" s="52"/>
    </row>
    <row r="53" spans="1:6" ht="15" customHeight="1" thickBot="1">
      <c r="A53" s="49">
        <v>48</v>
      </c>
      <c r="B53" s="140"/>
      <c r="C53" s="53"/>
      <c r="D53" s="53"/>
      <c r="E53" s="54"/>
      <c r="F53" s="55"/>
    </row>
    <row r="54" spans="1:6" ht="15" customHeight="1">
      <c r="A54" s="49">
        <v>49</v>
      </c>
      <c r="B54" s="135"/>
      <c r="C54" s="136"/>
      <c r="D54" s="136"/>
      <c r="E54" s="137"/>
      <c r="F54" s="138"/>
    </row>
    <row r="55" spans="1:6" ht="15" customHeight="1">
      <c r="A55" s="49">
        <v>50</v>
      </c>
      <c r="B55" s="139"/>
      <c r="C55" s="50"/>
      <c r="D55" s="50"/>
      <c r="E55" s="51"/>
      <c r="F55" s="52"/>
    </row>
    <row r="56" spans="1:6" ht="15" customHeight="1">
      <c r="A56" s="49">
        <v>51</v>
      </c>
      <c r="B56" s="139"/>
      <c r="C56" s="50"/>
      <c r="D56" s="50"/>
      <c r="E56" s="51"/>
      <c r="F56" s="52"/>
    </row>
    <row r="57" spans="1:6" ht="15" customHeight="1" thickBot="1">
      <c r="A57" s="49">
        <v>52</v>
      </c>
      <c r="B57" s="140"/>
      <c r="C57" s="53"/>
      <c r="D57" s="53"/>
      <c r="E57" s="54"/>
      <c r="F57" s="55"/>
    </row>
    <row r="58" spans="1:6" ht="15" customHeight="1">
      <c r="A58" s="49">
        <v>53</v>
      </c>
      <c r="B58" s="135"/>
      <c r="C58" s="136"/>
      <c r="D58" s="136"/>
      <c r="E58" s="137"/>
      <c r="F58" s="138"/>
    </row>
    <row r="59" spans="1:6" ht="15" customHeight="1">
      <c r="A59" s="49">
        <v>54</v>
      </c>
      <c r="B59" s="139"/>
      <c r="C59" s="50"/>
      <c r="D59" s="50"/>
      <c r="E59" s="51"/>
      <c r="F59" s="52"/>
    </row>
    <row r="60" spans="1:6" ht="15" customHeight="1">
      <c r="A60" s="49">
        <v>55</v>
      </c>
      <c r="B60" s="139"/>
      <c r="C60" s="50"/>
      <c r="D60" s="50"/>
      <c r="E60" s="51"/>
      <c r="F60" s="52"/>
    </row>
    <row r="61" spans="1:6" ht="15" customHeight="1" thickBot="1">
      <c r="A61" s="49">
        <v>56</v>
      </c>
      <c r="B61" s="140"/>
      <c r="C61" s="53"/>
      <c r="D61" s="53"/>
      <c r="E61" s="54"/>
      <c r="F61" s="55"/>
    </row>
    <row r="62" spans="1:6" ht="15" customHeight="1">
      <c r="A62" s="49">
        <v>57</v>
      </c>
      <c r="B62" s="135"/>
      <c r="C62" s="136"/>
      <c r="D62" s="136"/>
      <c r="E62" s="137"/>
      <c r="F62" s="138"/>
    </row>
    <row r="63" spans="1:6" ht="15" customHeight="1">
      <c r="A63" s="49">
        <v>58</v>
      </c>
      <c r="B63" s="139"/>
      <c r="C63" s="50"/>
      <c r="D63" s="50"/>
      <c r="E63" s="51"/>
      <c r="F63" s="52"/>
    </row>
    <row r="64" spans="1:6" ht="15" customHeight="1">
      <c r="A64" s="49">
        <v>59</v>
      </c>
      <c r="B64" s="139"/>
      <c r="C64" s="50"/>
      <c r="D64" s="50"/>
      <c r="E64" s="51"/>
      <c r="F64" s="52"/>
    </row>
    <row r="65" spans="1:6" ht="15" customHeight="1" thickBot="1">
      <c r="A65" s="49">
        <v>60</v>
      </c>
      <c r="B65" s="140"/>
      <c r="C65" s="53"/>
      <c r="D65" s="53"/>
      <c r="E65" s="54"/>
      <c r="F65" s="55"/>
    </row>
    <row r="66" spans="1:6" ht="15" customHeight="1">
      <c r="A66" s="49">
        <v>61</v>
      </c>
      <c r="B66" s="135"/>
      <c r="C66" s="136"/>
      <c r="D66" s="136"/>
      <c r="E66" s="137"/>
      <c r="F66" s="138"/>
    </row>
    <row r="67" spans="1:6" ht="15" customHeight="1">
      <c r="A67" s="49">
        <v>62</v>
      </c>
      <c r="B67" s="139"/>
      <c r="C67" s="50"/>
      <c r="D67" s="50"/>
      <c r="E67" s="51"/>
      <c r="F67" s="52"/>
    </row>
    <row r="68" spans="1:6" ht="15" customHeight="1">
      <c r="A68" s="49">
        <v>63</v>
      </c>
      <c r="B68" s="139"/>
      <c r="C68" s="50"/>
      <c r="D68" s="50"/>
      <c r="E68" s="51"/>
      <c r="F68" s="52"/>
    </row>
    <row r="69" spans="1:6" ht="15" customHeight="1" thickBot="1">
      <c r="A69" s="49">
        <v>64</v>
      </c>
      <c r="B69" s="140"/>
      <c r="C69" s="53"/>
      <c r="D69" s="53"/>
      <c r="E69" s="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/>
  <pageMargins left="0.25" right="0.2362204724409449" top="0.7086614173228347" bottom="0.31496062992125984" header="0.3937007874015748" footer="0.15748031496062992"/>
  <pageSetup fitToHeight="0" fitToWidth="1" horizontalDpi="300" verticalDpi="300" orientation="portrait" paperSize="9" scale="9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78" t="str">
        <f>KAPAK!A2</f>
        <v>Ankara Atletizm İl Temsilciliği</v>
      </c>
      <c r="B1" s="178"/>
      <c r="C1" s="178"/>
      <c r="D1" s="178"/>
      <c r="E1" s="178"/>
      <c r="F1" s="178"/>
      <c r="G1" s="178"/>
      <c r="H1" s="178"/>
      <c r="J1" s="30"/>
    </row>
    <row r="2" spans="1:8" ht="15.75">
      <c r="A2" s="179" t="str">
        <f>KAPAK!B24</f>
        <v>Küçükler ve Yıldızlar Bölgesel Kros Ligi 2.Kademe Yarışmaları</v>
      </c>
      <c r="B2" s="179"/>
      <c r="C2" s="179"/>
      <c r="D2" s="179"/>
      <c r="E2" s="179"/>
      <c r="F2" s="179"/>
      <c r="G2" s="179"/>
      <c r="H2" s="179"/>
    </row>
    <row r="3" spans="1:9" ht="14.25">
      <c r="A3" s="180" t="str">
        <f>KAPAK!B27</f>
        <v>Ankara</v>
      </c>
      <c r="B3" s="180"/>
      <c r="C3" s="180"/>
      <c r="D3" s="180"/>
      <c r="E3" s="180"/>
      <c r="F3" s="180"/>
      <c r="G3" s="180"/>
      <c r="H3" s="180"/>
      <c r="I3" s="31"/>
    </row>
    <row r="4" spans="1:8" ht="15.75" customHeight="1">
      <c r="A4" s="177" t="str">
        <f>KAPAK!B26</f>
        <v>Yıldız Erkekler</v>
      </c>
      <c r="B4" s="177"/>
      <c r="C4" s="177"/>
      <c r="D4" s="39" t="str">
        <f>KAPAK!B25</f>
        <v>2.5 km.</v>
      </c>
      <c r="E4" s="40"/>
      <c r="F4" s="181">
        <f>KAPAK!B28</f>
        <v>41938.458333333336</v>
      </c>
      <c r="G4" s="181"/>
      <c r="H4" s="181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102">
        <v>450</v>
      </c>
      <c r="C6" s="35" t="str">
        <f>IF(ISERROR(VLOOKUP(B6,'START LİSTE'!$B$6:$F$1253,2,0)),"",VLOOKUP(B6,'START LİSTE'!$B$6:$F$1253,2,0))</f>
        <v>BEKİR KABADAYI </v>
      </c>
      <c r="D6" s="35" t="str">
        <f>IF(ISERROR(VLOOKUP(B6,'START LİSTE'!$B$6:$F$1253,3,0)),"",VLOOKUP(B6,'START LİSTE'!$B$6:$F$1253,3,0))</f>
        <v>ANKARA-BB ANKARASPOR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35886</v>
      </c>
      <c r="G6" s="103">
        <v>746</v>
      </c>
      <c r="H6" s="133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102">
        <v>451</v>
      </c>
      <c r="C7" s="35" t="str">
        <f>IF(ISERROR(VLOOKUP(B7,'START LİSTE'!$B$6:$F$1253,2,0)),"",VLOOKUP(B7,'START LİSTE'!$B$6:$F$1253,2,0))</f>
        <v>OĞUZHAN  FURKAN DEDE</v>
      </c>
      <c r="D7" s="35" t="str">
        <f>IF(ISERROR(VLOOKUP(B7,'START LİSTE'!$B$6:$F$1253,3,0)),"",VLOOKUP(B7,'START LİSTE'!$B$6:$F$1253,3,0))</f>
        <v>ANKARA-BB ANKARASPOR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35529</v>
      </c>
      <c r="G7" s="103">
        <v>754</v>
      </c>
      <c r="H7" s="133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102">
        <v>453</v>
      </c>
      <c r="C8" s="35" t="str">
        <f>IF(ISERROR(VLOOKUP(B8,'START LİSTE'!$B$6:$F$1253,2,0)),"",VLOOKUP(B8,'START LİSTE'!$B$6:$F$1253,2,0))</f>
        <v>OĞUZHAN TAŞDEMİR</v>
      </c>
      <c r="D8" s="35" t="str">
        <f>IF(ISERROR(VLOOKUP(B8,'START LİSTE'!$B$6:$F$1253,3,0)),"",VLOOKUP(B8,'START LİSTE'!$B$6:$F$1253,3,0))</f>
        <v>ANKARA-BB ANKARASPOR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35431</v>
      </c>
      <c r="G8" s="103">
        <v>757</v>
      </c>
      <c r="H8" s="133">
        <f aca="true" t="shared" si="1" ref="H8:H71">IF(OR(G8="DQ",G8="DNF",G8="DNS"),"-",IF(B8&lt;&gt;"",IF(E8="F",H7,H7+1),""))</f>
        <v>3</v>
      </c>
      <c r="J8" s="30"/>
    </row>
    <row r="9" spans="1:8" ht="17.25" customHeight="1">
      <c r="A9" s="34">
        <f t="shared" si="0"/>
        <v>4</v>
      </c>
      <c r="B9" s="102">
        <v>430</v>
      </c>
      <c r="C9" s="35" t="str">
        <f>IF(ISERROR(VLOOKUP(B9,'START LİSTE'!$B$6:$F$1253,2,0)),"",VLOOKUP(B9,'START LİSTE'!$B$6:$F$1253,2,0))</f>
        <v>HÜSEYİN  BOZKUŞ</v>
      </c>
      <c r="D9" s="35" t="str">
        <f>IF(ISERROR(VLOOKUP(B9,'START LİSTE'!$B$6:$F$1253,3,0)),"",VLOOKUP(B9,'START LİSTE'!$B$6:$F$1253,3,0))</f>
        <v>KONYA EREĞLİ ŞEKER SPOR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35497</v>
      </c>
      <c r="G9" s="103">
        <v>803</v>
      </c>
      <c r="H9" s="133">
        <f t="shared" si="1"/>
        <v>4</v>
      </c>
    </row>
    <row r="10" spans="1:8" ht="17.25" customHeight="1">
      <c r="A10" s="34">
        <f t="shared" si="0"/>
        <v>5</v>
      </c>
      <c r="B10" s="102">
        <v>452</v>
      </c>
      <c r="C10" s="35" t="str">
        <f>IF(ISERROR(VLOOKUP(B10,'START LİSTE'!$B$6:$F$1253,2,0)),"",VLOOKUP(B10,'START LİSTE'!$B$6:$F$1253,2,0))</f>
        <v>ÖZCAN ÇİFTÇİ</v>
      </c>
      <c r="D10" s="35" t="str">
        <f>IF(ISERROR(VLOOKUP(B10,'START LİSTE'!$B$6:$F$1253,3,0)),"",VLOOKUP(B10,'START LİSTE'!$B$6:$F$1253,3,0))</f>
        <v>ANKARA-BB ANKARASPOR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35529</v>
      </c>
      <c r="G10" s="103">
        <v>806</v>
      </c>
      <c r="H10" s="133">
        <f t="shared" si="1"/>
        <v>5</v>
      </c>
    </row>
    <row r="11" spans="1:8" ht="17.25" customHeight="1">
      <c r="A11" s="34">
        <f t="shared" si="0"/>
        <v>6</v>
      </c>
      <c r="B11" s="102">
        <v>454</v>
      </c>
      <c r="C11" s="35" t="str">
        <f>IF(ISERROR(VLOOKUP(B11,'START LİSTE'!$B$6:$F$1253,2,0)),"",VLOOKUP(B11,'START LİSTE'!$B$6:$F$1253,2,0))</f>
        <v>EDİP ERÇİN</v>
      </c>
      <c r="D11" s="35" t="str">
        <f>IF(ISERROR(VLOOKUP(B11,'START LİSTE'!$B$6:$F$1253,3,0)),"",VLOOKUP(B11,'START LİSTE'!$B$6:$F$1253,3,0))</f>
        <v>NEVŞEHİR GHSİM S.K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35491</v>
      </c>
      <c r="G11" s="103">
        <v>823</v>
      </c>
      <c r="H11" s="133">
        <f t="shared" si="1"/>
        <v>6</v>
      </c>
    </row>
    <row r="12" spans="1:8" ht="17.25" customHeight="1">
      <c r="A12" s="34">
        <f t="shared" si="0"/>
        <v>7</v>
      </c>
      <c r="B12" s="102">
        <v>431</v>
      </c>
      <c r="C12" s="35" t="str">
        <f>IF(ISERROR(VLOOKUP(B12,'START LİSTE'!$B$6:$F$1253,2,0)),"",VLOOKUP(B12,'START LİSTE'!$B$6:$F$1253,2,0))</f>
        <v>YUNUS  ÖLGER</v>
      </c>
      <c r="D12" s="35" t="str">
        <f>IF(ISERROR(VLOOKUP(B12,'START LİSTE'!$B$6:$F$1253,3,0)),"",VLOOKUP(B12,'START LİSTE'!$B$6:$F$1253,3,0))</f>
        <v>KONYA EREĞLİ ŞEKER SPOR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35603</v>
      </c>
      <c r="G12" s="103">
        <v>830</v>
      </c>
      <c r="H12" s="133">
        <f t="shared" si="1"/>
        <v>7</v>
      </c>
    </row>
    <row r="13" spans="1:8" ht="17.25" customHeight="1">
      <c r="A13" s="34">
        <f t="shared" si="0"/>
        <v>8</v>
      </c>
      <c r="B13" s="102">
        <v>436</v>
      </c>
      <c r="C13" s="35" t="str">
        <f>IF(ISERROR(VLOOKUP(B13,'START LİSTE'!$B$6:$F$1253,2,0)),"",VLOOKUP(B13,'START LİSTE'!$B$6:$F$1253,2,0))</f>
        <v>EMRE ÜNALAN</v>
      </c>
      <c r="D13" s="35" t="str">
        <f>IF(ISERROR(VLOOKUP(B13,'START LİSTE'!$B$6:$F$1253,3,0)),"",VLOOKUP(B13,'START LİSTE'!$B$6:$F$1253,3,0))</f>
        <v>SİVAS-EĞİTİM SPOR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35968</v>
      </c>
      <c r="G13" s="103">
        <v>837</v>
      </c>
      <c r="H13" s="133">
        <f t="shared" si="1"/>
        <v>8</v>
      </c>
    </row>
    <row r="14" spans="1:8" ht="17.25" customHeight="1">
      <c r="A14" s="34">
        <f t="shared" si="0"/>
        <v>9</v>
      </c>
      <c r="B14" s="102">
        <v>432</v>
      </c>
      <c r="C14" s="35" t="str">
        <f>IF(ISERROR(VLOOKUP(B14,'START LİSTE'!$B$6:$F$1253,2,0)),"",VLOOKUP(B14,'START LİSTE'!$B$6:$F$1253,2,0))</f>
        <v>NECATİ BİNGÖL</v>
      </c>
      <c r="D14" s="35" t="str">
        <f>IF(ISERROR(VLOOKUP(B14,'START LİSTE'!$B$6:$F$1253,3,0)),"",VLOOKUP(B14,'START LİSTE'!$B$6:$F$1253,3,0))</f>
        <v>KONYA EREĞLİ ŞEKER SPOR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35516</v>
      </c>
      <c r="G14" s="103">
        <v>843</v>
      </c>
      <c r="H14" s="133">
        <f t="shared" si="1"/>
        <v>9</v>
      </c>
    </row>
    <row r="15" spans="1:8" ht="17.25" customHeight="1">
      <c r="A15" s="34">
        <f t="shared" si="0"/>
        <v>10</v>
      </c>
      <c r="B15" s="102">
        <v>447</v>
      </c>
      <c r="C15" s="35" t="str">
        <f>IF(ISERROR(VLOOKUP(B15,'START LİSTE'!$B$6:$F$1253,2,0)),"",VLOOKUP(B15,'START LİSTE'!$B$6:$F$1253,2,0))</f>
        <v>FATİH SABAN</v>
      </c>
      <c r="D15" s="35" t="str">
        <f>IF(ISERROR(VLOOKUP(B15,'START LİSTE'!$B$6:$F$1253,3,0)),"",VLOOKUP(B15,'START LİSTE'!$B$6:$F$1253,3,0))</f>
        <v>NEVŞEHİR 100.YIL ÜLFET BAŞER İO SP. KLB.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35555</v>
      </c>
      <c r="G15" s="103">
        <v>844</v>
      </c>
      <c r="H15" s="133">
        <f t="shared" si="1"/>
        <v>10</v>
      </c>
    </row>
    <row r="16" spans="1:8" ht="17.25" customHeight="1">
      <c r="A16" s="34">
        <f t="shared" si="0"/>
        <v>11</v>
      </c>
      <c r="B16" s="102">
        <v>444</v>
      </c>
      <c r="C16" s="35" t="str">
        <f>IF(ISERROR(VLOOKUP(B16,'START LİSTE'!$B$6:$F$1253,2,0)),"",VLOOKUP(B16,'START LİSTE'!$B$6:$F$1253,2,0))</f>
        <v>HASAN ÇELİK</v>
      </c>
      <c r="D16" s="35" t="str">
        <f>IF(ISERROR(VLOOKUP(B16,'START LİSTE'!$B$6:$F$1253,3,0)),"",VLOOKUP(B16,'START LİSTE'!$B$6:$F$1253,3,0))</f>
        <v>KIRŞEHİR - BELEDİYE GENÇLİK SP. K.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35701</v>
      </c>
      <c r="G16" s="103">
        <v>845</v>
      </c>
      <c r="H16" s="133">
        <f t="shared" si="1"/>
        <v>11</v>
      </c>
    </row>
    <row r="17" spans="1:8" ht="17.25" customHeight="1">
      <c r="A17" s="34">
        <f t="shared" si="0"/>
        <v>12</v>
      </c>
      <c r="B17" s="102">
        <v>459</v>
      </c>
      <c r="C17" s="35" t="str">
        <f>IF(ISERROR(VLOOKUP(B17,'START LİSTE'!$B$6:$F$1253,2,0)),"",VLOOKUP(B17,'START LİSTE'!$B$6:$F$1253,2,0))</f>
        <v>EMRE DOĞAN</v>
      </c>
      <c r="D17" s="35" t="str">
        <f>IF(ISERROR(VLOOKUP(B17,'START LİSTE'!$B$6:$F$1253,3,0)),"",VLOOKUP(B17,'START LİSTE'!$B$6:$F$1253,3,0))</f>
        <v>SPORCU EĞİTİM MERKEZİGENÇLİK VE SPOR KÜLÜBÜ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35622</v>
      </c>
      <c r="G17" s="103">
        <v>848</v>
      </c>
      <c r="H17" s="133">
        <f t="shared" si="1"/>
        <v>12</v>
      </c>
    </row>
    <row r="18" spans="1:8" ht="17.25" customHeight="1">
      <c r="A18" s="34">
        <f t="shared" si="0"/>
        <v>13</v>
      </c>
      <c r="B18" s="102">
        <v>448</v>
      </c>
      <c r="C18" s="35" t="str">
        <f>IF(ISERROR(VLOOKUP(B18,'START LİSTE'!$B$6:$F$1253,2,0)),"",VLOOKUP(B18,'START LİSTE'!$B$6:$F$1253,2,0))</f>
        <v>FURKAN AÇIKGÖZ</v>
      </c>
      <c r="D18" s="35" t="str">
        <f>IF(ISERROR(VLOOKUP(B18,'START LİSTE'!$B$6:$F$1253,3,0)),"",VLOOKUP(B18,'START LİSTE'!$B$6:$F$1253,3,0))</f>
        <v>NEVŞEHİR 100.YIL ÜLFET BAŞER İO SP. KLB.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35490</v>
      </c>
      <c r="G18" s="103">
        <v>849</v>
      </c>
      <c r="H18" s="133">
        <f t="shared" si="1"/>
        <v>13</v>
      </c>
    </row>
    <row r="19" spans="1:8" ht="17.25" customHeight="1">
      <c r="A19" s="34">
        <f t="shared" si="0"/>
        <v>14</v>
      </c>
      <c r="B19" s="102">
        <v>460</v>
      </c>
      <c r="C19" s="35" t="str">
        <f>IF(ISERROR(VLOOKUP(B19,'START LİSTE'!$B$6:$F$1253,2,0)),"",VLOOKUP(B19,'START LİSTE'!$B$6:$F$1253,2,0))</f>
        <v>UMUT BİNİCİ</v>
      </c>
      <c r="D19" s="35" t="str">
        <f>IF(ISERROR(VLOOKUP(B19,'START LİSTE'!$B$6:$F$1253,3,0)),"",VLOOKUP(B19,'START LİSTE'!$B$6:$F$1253,3,0))</f>
        <v>SPORCU EĞİTİM MERKEZİGENÇLİK VE SPOR KÜLÜBÜ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36124</v>
      </c>
      <c r="G19" s="103">
        <v>859</v>
      </c>
      <c r="H19" s="133">
        <f t="shared" si="1"/>
        <v>14</v>
      </c>
    </row>
    <row r="20" spans="1:8" ht="17.25" customHeight="1">
      <c r="A20" s="34">
        <f t="shared" si="0"/>
        <v>15</v>
      </c>
      <c r="B20" s="102">
        <v>449</v>
      </c>
      <c r="C20" s="35" t="str">
        <f>IF(ISERROR(VLOOKUP(B20,'START LİSTE'!$B$6:$F$1253,2,0)),"",VLOOKUP(B20,'START LİSTE'!$B$6:$F$1253,2,0))</f>
        <v>MUSTAFA SOYLU</v>
      </c>
      <c r="D20" s="35" t="str">
        <f>IF(ISERROR(VLOOKUP(B20,'START LİSTE'!$B$6:$F$1253,3,0)),"",VLOOKUP(B20,'START LİSTE'!$B$6:$F$1253,3,0))</f>
        <v>NEVŞEHİR 100.YIL ÜLFET BAŞER İO SP. KLB.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35525</v>
      </c>
      <c r="G20" s="103">
        <v>908</v>
      </c>
      <c r="H20" s="133">
        <f t="shared" si="1"/>
        <v>15</v>
      </c>
    </row>
    <row r="21" spans="1:8" ht="17.25" customHeight="1">
      <c r="A21" s="34">
        <f t="shared" si="0"/>
        <v>16</v>
      </c>
      <c r="B21" s="102">
        <v>456</v>
      </c>
      <c r="C21" s="35" t="str">
        <f>IF(ISERROR(VLOOKUP(B21,'START LİSTE'!$B$6:$F$1253,2,0)),"",VLOOKUP(B21,'START LİSTE'!$B$6:$F$1253,2,0))</f>
        <v>ZEKERYA KOCATEPE</v>
      </c>
      <c r="D21" s="35" t="str">
        <f>IF(ISERROR(VLOOKUP(B21,'START LİSTE'!$B$6:$F$1253,3,0)),"",VLOOKUP(B21,'START LİSTE'!$B$6:$F$1253,3,0))</f>
        <v>NEVŞEHİR GHSİM S.K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36024</v>
      </c>
      <c r="G21" s="103">
        <v>919</v>
      </c>
      <c r="H21" s="133">
        <f t="shared" si="1"/>
        <v>16</v>
      </c>
    </row>
    <row r="22" spans="1:8" ht="17.25" customHeight="1">
      <c r="A22" s="34">
        <f t="shared" si="0"/>
        <v>17</v>
      </c>
      <c r="B22" s="102">
        <v>446</v>
      </c>
      <c r="C22" s="35" t="str">
        <f>IF(ISERROR(VLOOKUP(B22,'START LİSTE'!$B$6:$F$1253,2,0)),"",VLOOKUP(B22,'START LİSTE'!$B$6:$F$1253,2,0))</f>
        <v>RAMAZAN ÇELİK</v>
      </c>
      <c r="D22" s="35" t="str">
        <f>IF(ISERROR(VLOOKUP(B22,'START LİSTE'!$B$6:$F$1253,3,0)),"",VLOOKUP(B22,'START LİSTE'!$B$6:$F$1253,3,0))</f>
        <v>NEVŞEHİR 100.YIL ÜLFET BAŞER İO SP. KLB.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36159</v>
      </c>
      <c r="G22" s="103">
        <v>925</v>
      </c>
      <c r="H22" s="133">
        <f t="shared" si="1"/>
        <v>17</v>
      </c>
    </row>
    <row r="23" spans="1:8" ht="17.25" customHeight="1">
      <c r="A23" s="34">
        <f t="shared" si="0"/>
        <v>18</v>
      </c>
      <c r="B23" s="102">
        <v>434</v>
      </c>
      <c r="C23" s="35" t="str">
        <f>IF(ISERROR(VLOOKUP(B23,'START LİSTE'!$B$6:$F$1253,2,0)),"",VLOOKUP(B23,'START LİSTE'!$B$6:$F$1253,2,0))</f>
        <v>BURAK YİĞİT</v>
      </c>
      <c r="D23" s="35" t="str">
        <f>IF(ISERROR(VLOOKUP(B23,'START LİSTE'!$B$6:$F$1253,3,0)),"",VLOOKUP(B23,'START LİSTE'!$B$6:$F$1253,3,0))</f>
        <v>SİVAS-EĞİTİM SPOR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36083</v>
      </c>
      <c r="G23" s="103">
        <v>928</v>
      </c>
      <c r="H23" s="133">
        <f t="shared" si="1"/>
        <v>18</v>
      </c>
    </row>
    <row r="24" spans="1:8" ht="17.25" customHeight="1">
      <c r="A24" s="34">
        <f t="shared" si="0"/>
        <v>19</v>
      </c>
      <c r="B24" s="102">
        <v>463</v>
      </c>
      <c r="C24" s="35" t="str">
        <f>IF(ISERROR(VLOOKUP(B24,'START LİSTE'!$B$6:$F$1253,2,0)),"",VLOOKUP(B24,'START LİSTE'!$B$6:$F$1253,2,0))</f>
        <v>YUSUF PEKTAŞ</v>
      </c>
      <c r="D24" s="35" t="str">
        <f>IF(ISERROR(VLOOKUP(B24,'START LİSTE'!$B$6:$F$1253,3,0)),"",VLOOKUP(B24,'START LİSTE'!$B$6:$F$1253,3,0))</f>
        <v>ESKİŞEHİR BÜYÜKŞEHİR G.S.K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35796</v>
      </c>
      <c r="G24" s="103">
        <v>939</v>
      </c>
      <c r="H24" s="133">
        <f t="shared" si="1"/>
        <v>19</v>
      </c>
    </row>
    <row r="25" spans="1:8" ht="17.25" customHeight="1">
      <c r="A25" s="34">
        <f t="shared" si="0"/>
        <v>20</v>
      </c>
      <c r="B25" s="102">
        <v>458</v>
      </c>
      <c r="C25" s="35" t="str">
        <f>IF(ISERROR(VLOOKUP(B25,'START LİSTE'!$B$6:$F$1253,2,0)),"",VLOOKUP(B25,'START LİSTE'!$B$6:$F$1253,2,0))</f>
        <v>AHAT KARATAŞ</v>
      </c>
      <c r="D25" s="35" t="str">
        <f>IF(ISERROR(VLOOKUP(B25,'START LİSTE'!$B$6:$F$1253,3,0)),"",VLOOKUP(B25,'START LİSTE'!$B$6:$F$1253,3,0))</f>
        <v>SPORCU EĞİTİM MERKEZİGENÇLİK VE SPOR KÜLÜBÜ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35752</v>
      </c>
      <c r="G25" s="103">
        <v>1003</v>
      </c>
      <c r="H25" s="133">
        <f t="shared" si="1"/>
        <v>20</v>
      </c>
    </row>
    <row r="26" spans="1:8" ht="17.25" customHeight="1">
      <c r="A26" s="34">
        <f t="shared" si="0"/>
        <v>21</v>
      </c>
      <c r="B26" s="102">
        <v>464</v>
      </c>
      <c r="C26" s="35" t="str">
        <f>IF(ISERROR(VLOOKUP(B26,'START LİSTE'!$B$6:$F$1253,2,0)),"",VLOOKUP(B26,'START LİSTE'!$B$6:$F$1253,2,0))</f>
        <v>HÜSEYİN KARACA</v>
      </c>
      <c r="D26" s="35" t="str">
        <f>IF(ISERROR(VLOOKUP(B26,'START LİSTE'!$B$6:$F$1253,3,0)),"",VLOOKUP(B26,'START LİSTE'!$B$6:$F$1253,3,0))</f>
        <v>ESKİŞEHİR BÜYÜKŞEHİR G.S.K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35709</v>
      </c>
      <c r="G26" s="103">
        <v>1015</v>
      </c>
      <c r="H26" s="133">
        <f t="shared" si="1"/>
        <v>21</v>
      </c>
    </row>
    <row r="27" spans="1:8" ht="17.25" customHeight="1">
      <c r="A27" s="34">
        <f t="shared" si="0"/>
        <v>22</v>
      </c>
      <c r="B27" s="102">
        <v>445</v>
      </c>
      <c r="C27" s="35" t="str">
        <f>IF(ISERROR(VLOOKUP(B27,'START LİSTE'!$B$6:$F$1253,2,0)),"",VLOOKUP(B27,'START LİSTE'!$B$6:$F$1253,2,0))</f>
        <v>MAHİR DENİZ YİĞİT</v>
      </c>
      <c r="D27" s="35" t="str">
        <f>IF(ISERROR(VLOOKUP(B27,'START LİSTE'!$B$6:$F$1253,3,0)),"",VLOOKUP(B27,'START LİSTE'!$B$6:$F$1253,3,0))</f>
        <v>KIRŞEHİR - BELEDİYE GENÇLİK SP. K.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35876</v>
      </c>
      <c r="G27" s="103">
        <v>10418</v>
      </c>
      <c r="H27" s="133">
        <f t="shared" si="1"/>
        <v>22</v>
      </c>
    </row>
    <row r="28" spans="1:8" ht="17.25" customHeight="1">
      <c r="A28" s="34">
        <f t="shared" si="0"/>
        <v>23</v>
      </c>
      <c r="B28" s="102">
        <v>437</v>
      </c>
      <c r="C28" s="35" t="str">
        <f>IF(ISERROR(VLOOKUP(B28,'START LİSTE'!$B$6:$F$1253,2,0)),"",VLOOKUP(B28,'START LİSTE'!$B$6:$F$1253,2,0))</f>
        <v>SERKAN KOÇAN</v>
      </c>
      <c r="D28" s="35" t="str">
        <f>IF(ISERROR(VLOOKUP(B28,'START LİSTE'!$B$6:$F$1253,3,0)),"",VLOOKUP(B28,'START LİSTE'!$B$6:$F$1253,3,0))</f>
        <v>SİVAS-EĞİTİM SPOR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35442</v>
      </c>
      <c r="G28" s="103">
        <v>1020</v>
      </c>
      <c r="H28" s="133">
        <f t="shared" si="1"/>
        <v>23</v>
      </c>
    </row>
    <row r="29" spans="1:8" ht="17.25" customHeight="1">
      <c r="A29" s="34">
        <f t="shared" si="0"/>
        <v>24</v>
      </c>
      <c r="B29" s="102">
        <v>443</v>
      </c>
      <c r="C29" s="35" t="str">
        <f>IF(ISERROR(VLOOKUP(B29,'START LİSTE'!$B$6:$F$1253,2,0)),"",VLOOKUP(B29,'START LİSTE'!$B$6:$F$1253,2,0))</f>
        <v>DERVİŞ GÖRGEÇ</v>
      </c>
      <c r="D29" s="35" t="str">
        <f>IF(ISERROR(VLOOKUP(B29,'START LİSTE'!$B$6:$F$1253,3,0)),"",VLOOKUP(B29,'START LİSTE'!$B$6:$F$1253,3,0))</f>
        <v>KIRŞEHİR - BELEDİYE GENÇLİK SP. K.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35609</v>
      </c>
      <c r="G29" s="103">
        <v>1050</v>
      </c>
      <c r="H29" s="133">
        <f t="shared" si="1"/>
        <v>24</v>
      </c>
    </row>
    <row r="30" spans="1:8" ht="17.25" customHeight="1">
      <c r="A30" s="34">
        <f t="shared" si="0"/>
        <v>25</v>
      </c>
      <c r="B30" s="102">
        <v>467</v>
      </c>
      <c r="C30" s="35" t="str">
        <f>IF(ISERROR(VLOOKUP(B30,'START LİSTE'!$B$6:$F$1253,2,0)),"",VLOOKUP(B30,'START LİSTE'!$B$6:$F$1253,2,0))</f>
        <v>FURKAN KILINÇ   (PROTESTOLU)</v>
      </c>
      <c r="D30" s="35" t="str">
        <f>IF(ISERROR(VLOOKUP(B30,'START LİSTE'!$B$6:$F$1253,3,0)),"",VLOOKUP(B30,'START LİSTE'!$B$6:$F$1253,3,0))</f>
        <v>ESKİŞEHİR BÜYÜKŞEHİR G.S.K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36027</v>
      </c>
      <c r="G30" s="103">
        <v>1054</v>
      </c>
      <c r="H30" s="133">
        <f t="shared" si="1"/>
        <v>25</v>
      </c>
    </row>
    <row r="31" spans="1:8" ht="17.25" customHeight="1">
      <c r="A31" s="34">
        <f t="shared" si="0"/>
        <v>26</v>
      </c>
      <c r="B31" s="102">
        <v>438</v>
      </c>
      <c r="C31" s="35" t="str">
        <f>IF(ISERROR(VLOOKUP(B31,'START LİSTE'!$B$6:$F$1253,2,0)),"",VLOOKUP(B31,'START LİSTE'!$B$6:$F$1253,2,0))</f>
        <v>MUSTAFA YILMAZ</v>
      </c>
      <c r="D31" s="35" t="str">
        <f>IF(ISERROR(VLOOKUP(B31,'START LİSTE'!$B$6:$F$1253,3,0)),"",VLOOKUP(B31,'START LİSTE'!$B$6:$F$1253,3,0))</f>
        <v>KIRŞEHİR- KIRŞEHİR LİSESİ S. KLB</v>
      </c>
      <c r="E31" s="36" t="str">
        <f>IF(ISERROR(VLOOKUP(B31,'START LİSTE'!$B$6:$F$1253,4,0)),"",VLOOKUP(B31,'START LİSTE'!$B$6:$F$1253,4,0))</f>
        <v>T</v>
      </c>
      <c r="F31" s="37">
        <f>IF(ISERROR(VLOOKUP($B31,'START LİSTE'!$B$6:$F$1253,5,0)),"",VLOOKUP($B31,'START LİSTE'!$B$6:$F$1253,5,0))</f>
        <v>35718</v>
      </c>
      <c r="G31" s="103">
        <v>1059</v>
      </c>
      <c r="H31" s="133">
        <f t="shared" si="1"/>
        <v>26</v>
      </c>
    </row>
    <row r="32" spans="1:8" ht="17.25" customHeight="1">
      <c r="A32" s="34">
        <f t="shared" si="0"/>
        <v>27</v>
      </c>
      <c r="B32" s="102">
        <v>435</v>
      </c>
      <c r="C32" s="35" t="str">
        <f>IF(ISERROR(VLOOKUP(B32,'START LİSTE'!$B$6:$F$1253,2,0)),"",VLOOKUP(B32,'START LİSTE'!$B$6:$F$1253,2,0))</f>
        <v>EYÜP TUMBUL</v>
      </c>
      <c r="D32" s="35" t="str">
        <f>IF(ISERROR(VLOOKUP(B32,'START LİSTE'!$B$6:$F$1253,3,0)),"",VLOOKUP(B32,'START LİSTE'!$B$6:$F$1253,3,0))</f>
        <v>SİVAS-EĞİTİM SPOR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35920</v>
      </c>
      <c r="G32" s="103">
        <v>1140</v>
      </c>
      <c r="H32" s="133">
        <f t="shared" si="1"/>
        <v>27</v>
      </c>
    </row>
    <row r="33" spans="1:8" ht="17.25" customHeight="1">
      <c r="A33" s="34">
        <f t="shared" si="0"/>
        <v>28</v>
      </c>
      <c r="B33" s="102">
        <v>461</v>
      </c>
      <c r="C33" s="35" t="str">
        <f>IF(ISERROR(VLOOKUP(B33,'START LİSTE'!$B$6:$F$1253,2,0)),"",VLOOKUP(B33,'START LİSTE'!$B$6:$F$1253,2,0))</f>
        <v>SEFA DUMAN</v>
      </c>
      <c r="D33" s="35" t="str">
        <f>IF(ISERROR(VLOOKUP(B33,'START LİSTE'!$B$6:$F$1253,3,0)),"",VLOOKUP(B33,'START LİSTE'!$B$6:$F$1253,3,0))</f>
        <v>SPORCU EĞİTİM MERKEZİGENÇLİK VE SPOR KÜLÜBÜ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35796</v>
      </c>
      <c r="G33" s="103">
        <v>1147</v>
      </c>
      <c r="H33" s="133">
        <f t="shared" si="1"/>
        <v>28</v>
      </c>
    </row>
    <row r="34" spans="1:8" ht="17.25" customHeight="1">
      <c r="A34" s="34">
        <f t="shared" si="0"/>
        <v>29</v>
      </c>
      <c r="B34" s="102">
        <v>442</v>
      </c>
      <c r="C34" s="35" t="str">
        <f>IF(ISERROR(VLOOKUP(B34,'START LİSTE'!$B$6:$F$1253,2,0)),"",VLOOKUP(B34,'START LİSTE'!$B$6:$F$1253,2,0))</f>
        <v>FEVZİ ERSAN</v>
      </c>
      <c r="D34" s="35" t="str">
        <f>IF(ISERROR(VLOOKUP(B34,'START LİSTE'!$B$6:$F$1253,3,0)),"",VLOOKUP(B34,'START LİSTE'!$B$6:$F$1253,3,0))</f>
        <v>KIRŞEHİR - BELEDİYE GENÇLİK SP. K.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35704</v>
      </c>
      <c r="G34" s="103">
        <v>1209</v>
      </c>
      <c r="H34" s="133">
        <f t="shared" si="1"/>
        <v>29</v>
      </c>
    </row>
    <row r="35" spans="1:8" ht="17.25" customHeight="1">
      <c r="A35" s="34">
        <f t="shared" si="0"/>
        <v>30</v>
      </c>
      <c r="B35" s="102">
        <v>441</v>
      </c>
      <c r="C35" s="35" t="str">
        <f>IF(ISERROR(VLOOKUP(B35,'START LİSTE'!$B$6:$F$1253,2,0)),"",VLOOKUP(B35,'START LİSTE'!$B$6:$F$1253,2,0))</f>
        <v>ONUR UÇAR</v>
      </c>
      <c r="D35" s="35" t="str">
        <f>IF(ISERROR(VLOOKUP(B35,'START LİSTE'!$B$6:$F$1253,3,0)),"",VLOOKUP(B35,'START LİSTE'!$B$6:$F$1253,3,0))</f>
        <v>KIRŞEHİR- KIRŞEHİR LİSESİ S. KLB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35566</v>
      </c>
      <c r="G35" s="103">
        <v>1214</v>
      </c>
      <c r="H35" s="133">
        <f t="shared" si="1"/>
        <v>30</v>
      </c>
    </row>
    <row r="36" spans="1:8" ht="17.25" customHeight="1">
      <c r="A36" s="34"/>
      <c r="B36" s="102">
        <v>433</v>
      </c>
      <c r="C36" s="35" t="str">
        <f>IF(ISERROR(VLOOKUP(B36,'START LİSTE'!$B$6:$F$1253,2,0)),"",VLOOKUP(B36,'START LİSTE'!$B$6:$F$1253,2,0))</f>
        <v>M.CAN ADACIL</v>
      </c>
      <c r="D36" s="35" t="str">
        <f>IF(ISERROR(VLOOKUP(B36,'START LİSTE'!$B$6:$F$1253,3,0)),"",VLOOKUP(B36,'START LİSTE'!$B$6:$F$1253,3,0))</f>
        <v>KONYA EREĞLİ ŞEKER SPOR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35870</v>
      </c>
      <c r="G36" s="103" t="s">
        <v>75</v>
      </c>
      <c r="H36" s="133" t="str">
        <f t="shared" si="1"/>
        <v>-</v>
      </c>
    </row>
    <row r="37" spans="1:8" ht="17.25" customHeight="1">
      <c r="A37" s="34"/>
      <c r="B37" s="102">
        <v>439</v>
      </c>
      <c r="C37" s="35" t="str">
        <f>IF(ISERROR(VLOOKUP(B37,'START LİSTE'!$B$6:$F$1253,2,0)),"",VLOOKUP(B37,'START LİSTE'!$B$6:$F$1253,2,0))</f>
        <v>CEBRAİL CEYLAN</v>
      </c>
      <c r="D37" s="35" t="str">
        <f>IF(ISERROR(VLOOKUP(B37,'START LİSTE'!$B$6:$F$1253,3,0)),"",VLOOKUP(B37,'START LİSTE'!$B$6:$F$1253,3,0))</f>
        <v>KIRŞEHİR- KIRŞEHİR LİSESİ S. KLB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35805</v>
      </c>
      <c r="G37" s="103" t="s">
        <v>75</v>
      </c>
      <c r="H37" s="133" t="str">
        <f t="shared" si="1"/>
        <v>-</v>
      </c>
    </row>
    <row r="38" spans="1:8" ht="17.25" customHeight="1">
      <c r="A38" s="34"/>
      <c r="B38" s="102">
        <v>440</v>
      </c>
      <c r="C38" s="35" t="str">
        <f>IF(ISERROR(VLOOKUP(B38,'START LİSTE'!$B$6:$F$1253,2,0)),"",VLOOKUP(B38,'START LİSTE'!$B$6:$F$1253,2,0))</f>
        <v>YUNUS EMRE BALDEDE</v>
      </c>
      <c r="D38" s="35" t="str">
        <f>IF(ISERROR(VLOOKUP(B38,'START LİSTE'!$B$6:$F$1253,3,0)),"",VLOOKUP(B38,'START LİSTE'!$B$6:$F$1253,3,0))</f>
        <v>KIRŞEHİR- KIRŞEHİR LİSESİ S. KLB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35899</v>
      </c>
      <c r="G38" s="103" t="s">
        <v>75</v>
      </c>
      <c r="H38" s="133" t="str">
        <f t="shared" si="1"/>
        <v>-</v>
      </c>
    </row>
    <row r="39" spans="1:8" ht="17.25" customHeight="1">
      <c r="A39" s="34"/>
      <c r="B39" s="102">
        <v>455</v>
      </c>
      <c r="C39" s="35" t="str">
        <f>IF(ISERROR(VLOOKUP(B39,'START LİSTE'!$B$6:$F$1253,2,0)),"",VLOOKUP(B39,'START LİSTE'!$B$6:$F$1253,2,0))</f>
        <v>FURKAN GÜVERCİNLİ</v>
      </c>
      <c r="D39" s="35" t="str">
        <f>IF(ISERROR(VLOOKUP(B39,'START LİSTE'!$B$6:$F$1253,3,0)),"",VLOOKUP(B39,'START LİSTE'!$B$6:$F$1253,3,0))</f>
        <v>NEVŞEHİR GHSİM S.K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35981</v>
      </c>
      <c r="G39" s="103" t="s">
        <v>75</v>
      </c>
      <c r="H39" s="133" t="str">
        <f t="shared" si="1"/>
        <v>-</v>
      </c>
    </row>
    <row r="40" spans="1:8" ht="17.25" customHeight="1">
      <c r="A40" s="34"/>
      <c r="B40" s="102">
        <v>457</v>
      </c>
      <c r="C40" s="35" t="str">
        <f>IF(ISERROR(VLOOKUP(B40,'START LİSTE'!$B$6:$F$1253,2,0)),"",VLOOKUP(B40,'START LİSTE'!$B$6:$F$1253,2,0))</f>
        <v>HAKAN KÖSTEKÇİ</v>
      </c>
      <c r="D40" s="35" t="str">
        <f>IF(ISERROR(VLOOKUP(B40,'START LİSTE'!$B$6:$F$1253,3,0)),"",VLOOKUP(B40,'START LİSTE'!$B$6:$F$1253,3,0))</f>
        <v>NEVŞEHİR GHSİM S.K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35972</v>
      </c>
      <c r="G40" s="103" t="s">
        <v>76</v>
      </c>
      <c r="H40" s="133" t="str">
        <f t="shared" si="1"/>
        <v>-</v>
      </c>
    </row>
    <row r="41" spans="1:8" ht="17.25" customHeight="1">
      <c r="A41" s="34"/>
      <c r="B41" s="102">
        <v>462</v>
      </c>
      <c r="C41" s="35" t="str">
        <f>IF(ISERROR(VLOOKUP(B41,'START LİSTE'!$B$6:$F$1253,2,0)),"",VLOOKUP(B41,'START LİSTE'!$B$6:$F$1253,2,0))</f>
        <v>OĞUZHAN OLKUN</v>
      </c>
      <c r="D41" s="35" t="str">
        <f>IF(ISERROR(VLOOKUP(B41,'START LİSTE'!$B$6:$F$1253,3,0)),"",VLOOKUP(B41,'START LİSTE'!$B$6:$F$1253,3,0))</f>
        <v>ESKİŞEHİR BÜYÜKŞEHİR G.S.K</v>
      </c>
      <c r="E41" s="36" t="str">
        <f>IF(ISERROR(VLOOKUP(B41,'START LİSTE'!$B$6:$F$1253,4,0)),"",VLOOKUP(B41,'START LİSTE'!$B$6:$F$1253,4,0))</f>
        <v>T</v>
      </c>
      <c r="F41" s="37">
        <f>IF(ISERROR(VLOOKUP($B41,'START LİSTE'!$B$6:$F$1253,5,0)),"",VLOOKUP($B41,'START LİSTE'!$B$6:$F$1253,5,0))</f>
        <v>35937</v>
      </c>
      <c r="G41" s="103" t="s">
        <v>76</v>
      </c>
      <c r="H41" s="133" t="str">
        <f t="shared" si="1"/>
        <v>-</v>
      </c>
    </row>
    <row r="42" spans="1:8" ht="17.25" customHeight="1">
      <c r="A42" s="34">
        <f t="shared" si="0"/>
      </c>
      <c r="B42" s="102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3"/>
      <c r="H42" s="133">
        <f t="shared" si="1"/>
      </c>
    </row>
    <row r="43" spans="1:8" ht="17.25" customHeight="1">
      <c r="A43" s="34">
        <f t="shared" si="0"/>
      </c>
      <c r="B43" s="102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3"/>
      <c r="H43" s="133">
        <f t="shared" si="1"/>
      </c>
    </row>
    <row r="44" spans="1:8" ht="17.25" customHeight="1">
      <c r="A44" s="34">
        <f t="shared" si="0"/>
      </c>
      <c r="B44" s="102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3"/>
      <c r="H44" s="133">
        <f t="shared" si="1"/>
      </c>
    </row>
    <row r="45" spans="1:8" ht="17.25" customHeight="1">
      <c r="A45" s="34">
        <f t="shared" si="0"/>
      </c>
      <c r="B45" s="102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3"/>
      <c r="H45" s="133">
        <f t="shared" si="1"/>
      </c>
    </row>
    <row r="46" spans="1:8" ht="17.25" customHeight="1">
      <c r="A46" s="34">
        <f t="shared" si="0"/>
      </c>
      <c r="B46" s="102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3"/>
      <c r="H46" s="133">
        <f t="shared" si="1"/>
      </c>
    </row>
    <row r="47" spans="1:8" ht="17.25" customHeight="1">
      <c r="A47" s="34">
        <f t="shared" si="0"/>
      </c>
      <c r="B47" s="102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3"/>
      <c r="H47" s="133">
        <f t="shared" si="1"/>
      </c>
    </row>
    <row r="48" spans="1:8" ht="17.25" customHeight="1">
      <c r="A48" s="34">
        <f t="shared" si="0"/>
      </c>
      <c r="B48" s="102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3"/>
      <c r="H48" s="133">
        <f t="shared" si="1"/>
      </c>
    </row>
    <row r="49" spans="1:8" ht="17.25" customHeight="1">
      <c r="A49" s="34">
        <f t="shared" si="0"/>
      </c>
      <c r="B49" s="102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3"/>
      <c r="H49" s="133">
        <f t="shared" si="1"/>
      </c>
    </row>
    <row r="50" spans="1:8" ht="17.25" customHeight="1">
      <c r="A50" s="34">
        <f t="shared" si="0"/>
      </c>
      <c r="B50" s="102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3"/>
      <c r="H50" s="133">
        <f t="shared" si="1"/>
      </c>
    </row>
    <row r="51" spans="1:8" ht="17.25" customHeight="1">
      <c r="A51" s="34">
        <f t="shared" si="0"/>
      </c>
      <c r="B51" s="102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3"/>
      <c r="H51" s="133">
        <f t="shared" si="1"/>
      </c>
    </row>
    <row r="52" spans="1:8" ht="17.25" customHeight="1">
      <c r="A52" s="34">
        <f t="shared" si="0"/>
      </c>
      <c r="B52" s="102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3"/>
      <c r="H52" s="133">
        <f t="shared" si="1"/>
      </c>
    </row>
    <row r="53" spans="1:8" ht="17.25" customHeight="1">
      <c r="A53" s="34">
        <f t="shared" si="0"/>
      </c>
      <c r="B53" s="102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3"/>
      <c r="H53" s="133">
        <f t="shared" si="1"/>
      </c>
    </row>
    <row r="54" spans="1:8" ht="17.25" customHeight="1">
      <c r="A54" s="34">
        <f t="shared" si="0"/>
      </c>
      <c r="B54" s="102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3"/>
      <c r="H54" s="133">
        <f t="shared" si="1"/>
      </c>
    </row>
    <row r="55" spans="1:8" ht="17.25" customHeight="1">
      <c r="A55" s="34">
        <f t="shared" si="0"/>
      </c>
      <c r="B55" s="102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3"/>
      <c r="H55" s="133">
        <f t="shared" si="1"/>
      </c>
    </row>
    <row r="56" spans="1:8" ht="17.25" customHeight="1">
      <c r="A56" s="34">
        <f t="shared" si="0"/>
      </c>
      <c r="B56" s="102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3"/>
      <c r="H56" s="133">
        <f t="shared" si="1"/>
      </c>
    </row>
    <row r="57" spans="1:8" ht="17.25" customHeight="1">
      <c r="A57" s="34">
        <f t="shared" si="0"/>
      </c>
      <c r="B57" s="102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3"/>
      <c r="H57" s="133">
        <f t="shared" si="1"/>
      </c>
    </row>
    <row r="58" spans="1:8" ht="17.25" customHeight="1">
      <c r="A58" s="34">
        <f t="shared" si="0"/>
      </c>
      <c r="B58" s="102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3"/>
      <c r="H58" s="133">
        <f t="shared" si="1"/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E10" sqref="E10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4" t="str">
        <f>KAPAK!A2</f>
        <v>Ankara Atletizm İl Temsilciliği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BF1" s="2"/>
    </row>
    <row r="2" spans="1:58" s="1" customFormat="1" ht="18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BF2" s="2"/>
    </row>
    <row r="3" spans="1:58" s="1" customFormat="1" ht="14.25" customHeight="1">
      <c r="A3" s="186" t="str">
        <f>KAPAK!B27</f>
        <v>Ankara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BF3" s="2"/>
    </row>
    <row r="4" spans="1:58" s="1" customFormat="1" ht="18" customHeight="1">
      <c r="A4" s="187" t="str">
        <f>KAPAK!B26</f>
        <v>Yıldız Erkekler</v>
      </c>
      <c r="B4" s="187"/>
      <c r="C4" s="187"/>
      <c r="D4" s="182" t="str">
        <f>KAPAK!B25</f>
        <v>2.5 km.</v>
      </c>
      <c r="E4" s="182"/>
      <c r="F4" s="183">
        <f>KAPAK!B28</f>
        <v>41938.458333333336</v>
      </c>
      <c r="G4" s="183"/>
      <c r="H4" s="183"/>
      <c r="I4" s="183"/>
      <c r="J4" s="183"/>
      <c r="K4" s="183"/>
      <c r="L4" s="183"/>
      <c r="M4" s="183"/>
      <c r="N4" s="183"/>
      <c r="O4" s="183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23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430</v>
      </c>
      <c r="E6" s="8" t="str">
        <f>IF(ISERROR(VLOOKUP($D6,'START LİSTE'!$B$6:$F$836,2,0)),"",VLOOKUP($D6,'START LİSTE'!$B$6:$F$836,2,0))</f>
        <v>HÜSEYİN  BOZKUŞ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803</v>
      </c>
      <c r="H6" s="10">
        <f>IF(OR(F6="",G6="DQ",G6="DNF",G6="DNS",G6=""),"-",VLOOKUP(D6,'FERDİ SONUÇ'!$B$6:$H$962,7,0))</f>
        <v>4</v>
      </c>
      <c r="I6" s="10">
        <f>IF(OR(F6="",F6="F",G6="DQ",G6="DNF",G6="DNS",G6=""),"-",VLOOKUP(D6,'FERDİ SONUÇ'!$B$6:$H$962,7,0))</f>
        <v>4</v>
      </c>
      <c r="J6" s="11">
        <f>IF(ISERROR(SMALL(I6:I9,1)),"-",SMALL(I6:I9,1))</f>
        <v>4</v>
      </c>
      <c r="K6" s="149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431</v>
      </c>
      <c r="E7" s="15" t="str">
        <f>IF(ISERROR(VLOOKUP($D7,'START LİSTE'!$B$6:$F$836,2,0)),"",VLOOKUP($D7,'START LİSTE'!$B$6:$F$836,2,0))</f>
        <v>YUNUS  ÖLGER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830</v>
      </c>
      <c r="H7" s="17">
        <f>IF(OR(F7="",G7="DQ",G7="DNF",G7="DNS",G7=""),"-",VLOOKUP(D7,'FERDİ SONUÇ'!$B$6:$H$962,7,0))</f>
        <v>7</v>
      </c>
      <c r="I7" s="17">
        <f>IF(OR(F7="",F7="F",G7="DQ",G7="DNF",G7="DNS",G7=""),"-",VLOOKUP(D7,'FERDİ SONUÇ'!$B$6:$H$962,7,0))</f>
        <v>7</v>
      </c>
      <c r="J7" s="18">
        <f>IF(ISERROR(SMALL(I6:I9,2)),"-",SMALL(I6:I9,2))</f>
        <v>7</v>
      </c>
      <c r="K7" s="150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2</v>
      </c>
      <c r="B8" s="101">
        <f>IF(AND(C8&lt;&gt;"",N8&lt;&gt;"DQ"),COUNT(N$6:N$1247)-(RANK(N8,N$6:N$1247)+COUNTIF(N$6:N8,N8))+2,IF(D6&lt;&gt;"",BF8,""))</f>
        <v>2</v>
      </c>
      <c r="C8" s="14" t="str">
        <f>IF(ISERROR(VLOOKUP(D6,'START LİSTE'!$B$6:$F$836,3,0)),"",VLOOKUP(D6,'START LİSTE'!$B$6:$F$836,3,0))</f>
        <v>KONYA EREĞLİ ŞEKER SPOR</v>
      </c>
      <c r="D8" s="109">
        <v>432</v>
      </c>
      <c r="E8" s="15" t="str">
        <f>IF(ISERROR(VLOOKUP($D8,'START LİSTE'!$B$6:$F$836,2,0)),"",VLOOKUP($D8,'START LİSTE'!$B$6:$F$836,2,0))</f>
        <v>NECATİ BİNGÖL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843</v>
      </c>
      <c r="H8" s="17">
        <f>IF(OR(F8="",G8="DQ",G8="DNF",G8="DNS",G8=""),"-",VLOOKUP(D8,'FERDİ SONUÇ'!$B$6:$H$962,7,0))</f>
        <v>9</v>
      </c>
      <c r="I8" s="17">
        <f>IF(OR(F8="",F8="F",G8="DQ",G8="DNF",G8="DNS",G8=""),"-",VLOOKUP(D8,'FERDİ SONUÇ'!$B$6:$H$962,7,0))</f>
        <v>9</v>
      </c>
      <c r="J8" s="18">
        <f>IF(ISERROR(SMALL(I6:I9,3)),"-",SMALL(I6:I9,3))</f>
        <v>9</v>
      </c>
      <c r="K8" s="150">
        <v>18</v>
      </c>
      <c r="L8" s="150">
        <f>N8</f>
        <v>20.0009</v>
      </c>
      <c r="M8" s="98"/>
      <c r="N8" s="110">
        <f>_xlfn.IFERROR(IF(C8="","",IF(OR(J6="-",J7="-",J8="-"),"DQ",SUM(J6,J7,J8)))+(J8*0.0001),"DQ")</f>
        <v>20.0009</v>
      </c>
      <c r="O8" s="110">
        <f>IF(C8="","",IF(OR(K8="DQ",L8="DQ",M8="DQ"),"DQ",SUM(K8,L8,M8)))</f>
        <v>38.0009</v>
      </c>
      <c r="P8" s="3"/>
      <c r="BF8" s="2">
        <v>1002</v>
      </c>
    </row>
    <row r="9" spans="2:58" s="1" customFormat="1" ht="15" customHeight="1">
      <c r="B9" s="13"/>
      <c r="C9" s="14"/>
      <c r="D9" s="109">
        <v>433</v>
      </c>
      <c r="E9" s="15" t="str">
        <f>IF(ISERROR(VLOOKUP($D9,'START LİSTE'!$B$6:$F$836,2,0)),"",VLOOKUP($D9,'START LİSTE'!$B$6:$F$836,2,0))</f>
        <v>M.CAN ADACIL</v>
      </c>
      <c r="F9" s="16" t="str">
        <f>IF(ISERROR(VLOOKUP($D9,'START LİSTE'!$B$6:$F$836,4,0)),"",VLOOKUP($D9,'START LİSTE'!$B$6:$F$836,4,0))</f>
        <v>T</v>
      </c>
      <c r="G9" s="106" t="str">
        <f>IF(ISERROR(VLOOKUP($D9,'FERDİ SONUÇ'!$B$6:$H$962,6,0)),"",VLOOKUP($D9,'FERDİ SONUÇ'!$B$6:$H$962,6,0))</f>
        <v>DNF</v>
      </c>
      <c r="H9" s="17" t="str">
        <f>IF(OR(F9="",G9="DQ",G9="DNF",G9="DNS",G9=""),"-",VLOOKUP(D9,'FERDİ SONUÇ'!$B$6:$H$962,7,0))</f>
        <v>-</v>
      </c>
      <c r="I9" s="17" t="str">
        <f>IF(OR(F9="",F9="F",G9="DQ",G9="DNF",G9="DNS",G9=""),"-",VLOOKUP(D9,'FERDİ SONUÇ'!$B$6:$H$962,7,0))</f>
        <v>-</v>
      </c>
      <c r="J9" s="18" t="str">
        <f>IF(ISERROR(SMALL(I6:I9,4)),"-",SMALL(I6:I9,4))</f>
        <v>-</v>
      </c>
      <c r="K9" s="150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434</v>
      </c>
      <c r="E10" s="8" t="str">
        <f>IF(ISERROR(VLOOKUP($D10,'START LİSTE'!$B$6:$F$836,2,0)),"",VLOOKUP($D10,'START LİSTE'!$B$6:$F$836,2,0))</f>
        <v>BURAK YİĞİT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928</v>
      </c>
      <c r="H10" s="10">
        <f>IF(OR(F10="",G10="DQ",G10="DNF",G10="DNS",G10=""),"-",VLOOKUP(D10,'FERDİ SONUÇ'!$B$6:$H$962,7,0))</f>
        <v>18</v>
      </c>
      <c r="I10" s="10">
        <f>IF(OR(F10="",F10="F",G10="DQ",G10="DNF",G10="DNS",G10=""),"-",VLOOKUP(D10,'FERDİ SONUÇ'!$B$6:$H$962,7,0))</f>
        <v>18</v>
      </c>
      <c r="J10" s="11">
        <f>IF(ISERROR(SMALL(I10:I13,1)),"-",SMALL(I10:I13,1))</f>
        <v>8</v>
      </c>
      <c r="K10" s="149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435</v>
      </c>
      <c r="E11" s="15" t="str">
        <f>IF(ISERROR(VLOOKUP($D11,'START LİSTE'!$B$6:$F$836,2,0)),"",VLOOKUP($D11,'START LİSTE'!$B$6:$F$836,2,0))</f>
        <v>EYÜP TUMBUL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1140</v>
      </c>
      <c r="H11" s="17">
        <f>IF(OR(F11="",G11="DQ",G11="DNF",G11="DNS",G11=""),"-",VLOOKUP(D11,'FERDİ SONUÇ'!$B$6:$H$962,7,0))</f>
        <v>27</v>
      </c>
      <c r="I11" s="17">
        <f>IF(OR(F11="",F11="F",G11="DQ",G11="DNF",G11="DNS",G11=""),"-",VLOOKUP(D11,'FERDİ SONUÇ'!$B$6:$H$962,7,0))</f>
        <v>27</v>
      </c>
      <c r="J11" s="18">
        <f>IF(ISERROR(SMALL(I10:I13,2)),"-",SMALL(I10:I13,2))</f>
        <v>18</v>
      </c>
      <c r="K11" s="150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5</v>
      </c>
      <c r="B12" s="101">
        <f>IF(AND(C12&lt;&gt;"",N12&lt;&gt;"DQ"),COUNT(N$6:N$1247)-(RANK(N12,N$6:N$1247)+COUNTIF(N$6:N12,N12))+2,IF(D10&lt;&gt;"",BF12,""))</f>
        <v>5</v>
      </c>
      <c r="C12" s="14" t="str">
        <f>IF(ISERROR(VLOOKUP(D10,'START LİSTE'!$B$6:$F$836,3,0)),"",VLOOKUP(D10,'START LİSTE'!$B$6:$F$836,3,0))</f>
        <v>SİVAS-EĞİTİM SPOR</v>
      </c>
      <c r="D12" s="109">
        <v>436</v>
      </c>
      <c r="E12" s="15" t="str">
        <f>IF(ISERROR(VLOOKUP($D12,'START LİSTE'!$B$6:$F$836,2,0)),"",VLOOKUP($D12,'START LİSTE'!$B$6:$F$836,2,0))</f>
        <v>EMRE ÜNALAN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837</v>
      </c>
      <c r="H12" s="17">
        <f>IF(OR(F12="",G12="DQ",G12="DNF",G12="DNS",G12=""),"-",VLOOKUP(D12,'FERDİ SONUÇ'!$B$6:$H$962,7,0))</f>
        <v>8</v>
      </c>
      <c r="I12" s="17">
        <f>IF(OR(F12="",F12="F",G12="DQ",G12="DNF",G12="DNS",G12=""),"-",VLOOKUP(D12,'FERDİ SONUÇ'!$B$6:$H$962,7,0))</f>
        <v>8</v>
      </c>
      <c r="J12" s="18">
        <f>IF(ISERROR(SMALL(I10:I13,3)),"-",SMALL(I10:I13,3))</f>
        <v>23</v>
      </c>
      <c r="K12" s="150">
        <v>53</v>
      </c>
      <c r="L12" s="98">
        <f>N12</f>
        <v>49.0023</v>
      </c>
      <c r="M12" s="98"/>
      <c r="N12" s="110">
        <f>_xlfn.IFERROR(IF(C12="","",IF(OR(J10="-",J11="-",J12="-"),"DQ",SUM(J10,J11,J12)))+(J12*0.0001),"DQ")</f>
        <v>49.0023</v>
      </c>
      <c r="O12" s="110">
        <f>IF(C12="","",IF(OR(K12="DQ",L12="DQ",M12="DQ"),"DQ",SUM(K12,L12,M12)))</f>
        <v>102.00229999999999</v>
      </c>
      <c r="BF12" s="2">
        <v>1008</v>
      </c>
    </row>
    <row r="13" spans="2:58" ht="15" customHeight="1">
      <c r="B13" s="13"/>
      <c r="C13" s="14"/>
      <c r="D13" s="109">
        <v>437</v>
      </c>
      <c r="E13" s="15" t="str">
        <f>IF(ISERROR(VLOOKUP($D13,'START LİSTE'!$B$6:$F$836,2,0)),"",VLOOKUP($D13,'START LİSTE'!$B$6:$F$836,2,0))</f>
        <v>SERKAN KOÇAN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1020</v>
      </c>
      <c r="H13" s="17">
        <f>IF(OR(F13="",G13="DQ",G13="DNF",G13="DNS",G13=""),"-",VLOOKUP(D13,'FERDİ SONUÇ'!$B$6:$H$962,7,0))</f>
        <v>23</v>
      </c>
      <c r="I13" s="17">
        <f>IF(OR(F13="",F13="F",G13="DQ",G13="DNF",G13="DNS",G13=""),"-",VLOOKUP(D13,'FERDİ SONUÇ'!$B$6:$H$962,7,0))</f>
        <v>23</v>
      </c>
      <c r="J13" s="18">
        <f>IF(ISERROR(SMALL(I10:I13,4)),"-",SMALL(I10:I13,4))</f>
        <v>27</v>
      </c>
      <c r="K13" s="150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438</v>
      </c>
      <c r="E14" s="8" t="str">
        <f>IF(ISERROR(VLOOKUP($D14,'START LİSTE'!$B$6:$F$836,2,0)),"",VLOOKUP($D14,'START LİSTE'!$B$6:$F$836,2,0))</f>
        <v>MUSTAFA YILMAZ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1059</v>
      </c>
      <c r="H14" s="10">
        <f>IF(OR(F14="",G14="DQ",G14="DNF",G14="DNS",G14=""),"-",VLOOKUP(D14,'FERDİ SONUÇ'!$B$6:$H$962,7,0))</f>
        <v>26</v>
      </c>
      <c r="I14" s="10">
        <f>IF(OR(F14="",F14="F",G14="DQ",G14="DNF",G14="DNS",G14=""),"-",VLOOKUP(D14,'FERDİ SONUÇ'!$B$6:$H$962,7,0))</f>
        <v>26</v>
      </c>
      <c r="J14" s="11">
        <f>IF(ISERROR(SMALL(I14:I17,1)),"-",SMALL(I14:I17,1))</f>
        <v>26</v>
      </c>
      <c r="K14" s="149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439</v>
      </c>
      <c r="E15" s="15" t="str">
        <f>IF(ISERROR(VLOOKUP($D15,'START LİSTE'!$B$6:$F$836,2,0)),"",VLOOKUP($D15,'START LİSTE'!$B$6:$F$836,2,0))</f>
        <v>CEBRAİL CEYLAN</v>
      </c>
      <c r="F15" s="16" t="str">
        <f>IF(ISERROR(VLOOKUP($D15,'START LİSTE'!$B$6:$F$836,4,0)),"",VLOOKUP($D15,'START LİSTE'!$B$6:$F$836,4,0))</f>
        <v>T</v>
      </c>
      <c r="G15" s="106" t="str">
        <f>IF(ISERROR(VLOOKUP($D15,'FERDİ SONUÇ'!$B$6:$H$962,6,0)),"",VLOOKUP($D15,'FERDİ SONUÇ'!$B$6:$H$962,6,0))</f>
        <v>DNF</v>
      </c>
      <c r="H15" s="17" t="str">
        <f>IF(OR(F15="",G15="DQ",G15="DNF",G15="DNS",G15=""),"-",VLOOKUP(D15,'FERDİ SONUÇ'!$B$6:$H$962,7,0))</f>
        <v>-</v>
      </c>
      <c r="I15" s="17" t="str">
        <f>IF(OR(F15="",F15="F",G15="DQ",G15="DNF",G15="DNS",G15=""),"-",VLOOKUP(D15,'FERDİ SONUÇ'!$B$6:$H$962,7,0))</f>
        <v>-</v>
      </c>
      <c r="J15" s="18">
        <f>IF(ISERROR(SMALL(I14:I17,2)),"-",SMALL(I14:I17,2))</f>
        <v>30</v>
      </c>
      <c r="K15" s="150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1014</v>
      </c>
      <c r="B16" s="101">
        <f>IF(AND(C16&lt;&gt;"",N16&lt;&gt;"DQ"),COUNT(N$6:N$1247)-(RANK(N16,N$6:N$1247)+COUNTIF(N$6:N16,N16))+2,IF(D14&lt;&gt;"",BF16,""))</f>
        <v>1014</v>
      </c>
      <c r="C16" s="14" t="str">
        <f>IF(ISERROR(VLOOKUP(D14,'START LİSTE'!$B$6:$F$836,3,0)),"",VLOOKUP(D14,'START LİSTE'!$B$6:$F$836,3,0))</f>
        <v>KIRŞEHİR- KIRŞEHİR LİSESİ S. KLB</v>
      </c>
      <c r="D16" s="109">
        <v>440</v>
      </c>
      <c r="E16" s="15" t="str">
        <f>IF(ISERROR(VLOOKUP($D16,'START LİSTE'!$B$6:$F$836,2,0)),"",VLOOKUP($D16,'START LİSTE'!$B$6:$F$836,2,0))</f>
        <v>YUNUS EMRE BALDEDE</v>
      </c>
      <c r="F16" s="16" t="str">
        <f>IF(ISERROR(VLOOKUP($D16,'START LİSTE'!$B$6:$F$836,4,0)),"",VLOOKUP($D16,'START LİSTE'!$B$6:$F$836,4,0))</f>
        <v>T</v>
      </c>
      <c r="G16" s="106" t="str">
        <f>IF(ISERROR(VLOOKUP($D16,'FERDİ SONUÇ'!$B$6:$H$962,6,0)),"",VLOOKUP($D16,'FERDİ SONUÇ'!$B$6:$H$962,6,0))</f>
        <v>DNF</v>
      </c>
      <c r="H16" s="17" t="str">
        <f>IF(OR(F16="",G16="DQ",G16="DNF",G16="DNS",G16=""),"-",VLOOKUP(D16,'FERDİ SONUÇ'!$B$6:$H$962,7,0))</f>
        <v>-</v>
      </c>
      <c r="I16" s="17" t="str">
        <f>IF(OR(F16="",F16="F",G16="DQ",G16="DNF",G16="DNS",G16=""),"-",VLOOKUP(D16,'FERDİ SONUÇ'!$B$6:$H$962,7,0))</f>
        <v>-</v>
      </c>
      <c r="J16" s="18" t="str">
        <f>IF(ISERROR(SMALL(I14:I17,3)),"-",SMALL(I14:I17,3))</f>
        <v>-</v>
      </c>
      <c r="K16" s="150">
        <v>85</v>
      </c>
      <c r="L16" s="98" t="str">
        <f>N16</f>
        <v>DQ</v>
      </c>
      <c r="M16" s="98"/>
      <c r="N16" s="110" t="str">
        <f>_xlfn.IFERROR(IF(C16="","",IF(OR(J14="-",J15="-",J16="-"),"DQ",SUM(J14,J15,J16)))+(J16*0.0001),"DQ")</f>
        <v>DQ</v>
      </c>
      <c r="O16" s="110" t="str">
        <f>IF(C16="","",IF(OR(K16="DQ",L16="DQ",M16="DQ"),"DQ",SUM(K16,L16,M16)))</f>
        <v>DQ</v>
      </c>
      <c r="BF16" s="2">
        <v>1014</v>
      </c>
    </row>
    <row r="17" spans="2:58" ht="15" customHeight="1">
      <c r="B17" s="13"/>
      <c r="C17" s="14"/>
      <c r="D17" s="109">
        <v>441</v>
      </c>
      <c r="E17" s="15" t="str">
        <f>IF(ISERROR(VLOOKUP($D17,'START LİSTE'!$B$6:$F$836,2,0)),"",VLOOKUP($D17,'START LİSTE'!$B$6:$F$836,2,0))</f>
        <v>ONUR UÇAR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1214</v>
      </c>
      <c r="H17" s="17">
        <f>IF(OR(F17="",G17="DQ",G17="DNF",G17="DNS",G17=""),"-",VLOOKUP(D17,'FERDİ SONUÇ'!$B$6:$H$962,7,0))</f>
        <v>30</v>
      </c>
      <c r="I17" s="17">
        <f>IF(OR(F17="",F17="F",G17="DQ",G17="DNF",G17="DNS",G17=""),"-",VLOOKUP(D17,'FERDİ SONUÇ'!$B$6:$H$962,7,0))</f>
        <v>30</v>
      </c>
      <c r="J17" s="18" t="str">
        <f>IF(ISERROR(SMALL(I14:I17,4)),"-",SMALL(I14:I17,4))</f>
        <v>-</v>
      </c>
      <c r="K17" s="150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442</v>
      </c>
      <c r="E18" s="8" t="str">
        <f>IF(ISERROR(VLOOKUP($D18,'START LİSTE'!$B$6:$F$836,2,0)),"",VLOOKUP($D18,'START LİSTE'!$B$6:$F$836,2,0))</f>
        <v>FEVZİ ERSAN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1209</v>
      </c>
      <c r="H18" s="9">
        <f>IF(OR(F18="",G18="DQ",G18="DNF",G18="DNS",G18=""),"-",VLOOKUP(D18,'FERDİ SONUÇ'!$B$6:$H$962,7,0))</f>
        <v>29</v>
      </c>
      <c r="I18" s="9">
        <f>IF(OR(F18="",F18="F",G18="DQ",G18="DNF",G18="DNS",G18=""),"-",VLOOKUP(D18,'FERDİ SONUÇ'!$B$6:$H$962,7,0))</f>
        <v>29</v>
      </c>
      <c r="J18" s="11">
        <f>IF(ISERROR(SMALL(I18:I21,1)),"-",SMALL(I18:I21,1))</f>
        <v>11</v>
      </c>
      <c r="K18" s="149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443</v>
      </c>
      <c r="E19" s="15" t="str">
        <f>IF(ISERROR(VLOOKUP($D19,'START LİSTE'!$B$6:$F$836,2,0)),"",VLOOKUP($D19,'START LİSTE'!$B$6:$F$836,2,0))</f>
        <v>DERVİŞ GÖRGEÇ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1050</v>
      </c>
      <c r="H19" s="16">
        <f>IF(OR(F19="",G19="DQ",G19="DNF",G19="DNS",G19=""),"-",VLOOKUP(D19,'FERDİ SONUÇ'!$B$6:$H$962,7,0))</f>
        <v>24</v>
      </c>
      <c r="I19" s="16">
        <f>IF(OR(F19="",F19="F",G19="DQ",G19="DNF",G19="DNS",G19=""),"-",VLOOKUP(D19,'FERDİ SONUÇ'!$B$6:$H$962,7,0))</f>
        <v>24</v>
      </c>
      <c r="J19" s="18">
        <f>IF(ISERROR(SMALL(I18:I21,2)),"-",SMALL(I18:I21,2))</f>
        <v>22</v>
      </c>
      <c r="K19" s="150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7</v>
      </c>
      <c r="B20" s="101">
        <f>IF(AND(C20&lt;&gt;"",N20&lt;&gt;"DQ"),COUNT(N$6:N$1247)-(RANK(N20,N$6:N$1247)+COUNTIF(N$6:N20,N20))+2,IF(D18&lt;&gt;"",BF20,""))</f>
        <v>6</v>
      </c>
      <c r="C20" s="14" t="str">
        <f>IF(ISERROR(VLOOKUP(D18,'START LİSTE'!$B$6:$F$836,3,0)),"",VLOOKUP(D18,'START LİSTE'!$B$6:$F$836,3,0))</f>
        <v>KIRŞEHİR - BELEDİYE GENÇLİK SP. K.</v>
      </c>
      <c r="D20" s="109">
        <v>444</v>
      </c>
      <c r="E20" s="15" t="str">
        <f>IF(ISERROR(VLOOKUP($D20,'START LİSTE'!$B$6:$F$836,2,0)),"",VLOOKUP($D20,'START LİSTE'!$B$6:$F$836,2,0))</f>
        <v>HASAN ÇELİK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845</v>
      </c>
      <c r="H20" s="16">
        <f>IF(OR(F20="",G20="DQ",G20="DNF",G20="DNS",G20=""),"-",VLOOKUP(D20,'FERDİ SONUÇ'!$B$6:$H$962,7,0))</f>
        <v>11</v>
      </c>
      <c r="I20" s="16">
        <f>IF(OR(F20="",F20="F",G20="DQ",G20="DNF",G20="DNS",G20=""),"-",VLOOKUP(D20,'FERDİ SONUÇ'!$B$6:$H$962,7,0))</f>
        <v>11</v>
      </c>
      <c r="J20" s="18">
        <f>IF(ISERROR(SMALL(I18:I21,3)),"-",SMALL(I18:I21,3))</f>
        <v>24</v>
      </c>
      <c r="K20" s="150">
        <v>66</v>
      </c>
      <c r="L20" s="98">
        <f>N20</f>
        <v>57.0024</v>
      </c>
      <c r="M20" s="98"/>
      <c r="N20" s="110">
        <f>_xlfn.IFERROR(IF(C20="","",IF(OR(J18="-",J19="-",J20="-"),"DQ",SUM(J18,J19,J20)))+(J20*0.0001),"DQ")</f>
        <v>57.0024</v>
      </c>
      <c r="O20" s="110">
        <f>IF(C20="","",IF(OR(K20="DQ",L20="DQ",M20="DQ"),"DQ",SUM(K20,L20,M20)))</f>
        <v>123.0024</v>
      </c>
      <c r="BF20" s="2">
        <v>1020</v>
      </c>
    </row>
    <row r="21" spans="2:58" ht="15" customHeight="1">
      <c r="B21" s="13"/>
      <c r="C21" s="14"/>
      <c r="D21" s="109">
        <v>445</v>
      </c>
      <c r="E21" s="15" t="str">
        <f>IF(ISERROR(VLOOKUP($D21,'START LİSTE'!$B$6:$F$836,2,0)),"",VLOOKUP($D21,'START LİSTE'!$B$6:$F$836,2,0))</f>
        <v>MAHİR DENİZ YİĞİT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10418</v>
      </c>
      <c r="H21" s="16">
        <f>IF(OR(F21="",G21="DQ",G21="DNF",G21="DNS",G21=""),"-",VLOOKUP(D21,'FERDİ SONUÇ'!$B$6:$H$962,7,0))</f>
        <v>22</v>
      </c>
      <c r="I21" s="16">
        <f>IF(OR(F21="",F21="F",G21="DQ",G21="DNF",G21="DNS",G21=""),"-",VLOOKUP(D21,'FERDİ SONUÇ'!$B$6:$H$962,7,0))</f>
        <v>22</v>
      </c>
      <c r="J21" s="18">
        <f>IF(ISERROR(SMALL(I18:I21,4)),"-",SMALL(I18:I21,4))</f>
        <v>29</v>
      </c>
      <c r="K21" s="150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446</v>
      </c>
      <c r="E22" s="8" t="str">
        <f>IF(ISERROR(VLOOKUP($D22,'START LİSTE'!$B$6:$F$836,2,0)),"",VLOOKUP($D22,'START LİSTE'!$B$6:$F$836,2,0))</f>
        <v>RAMAZAN ÇELİK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925</v>
      </c>
      <c r="H22" s="9">
        <f>IF(OR(F22="",G22="DQ",G22="DNF",G22="DNS",G22=""),"-",VLOOKUP(D22,'FERDİ SONUÇ'!$B$6:$H$962,7,0))</f>
        <v>17</v>
      </c>
      <c r="I22" s="9">
        <f>IF(OR(F22="",F22="F",G22="DQ",G22="DNF",G22="DNS",G22=""),"-",VLOOKUP(D22,'FERDİ SONUÇ'!$B$6:$H$962,7,0))</f>
        <v>17</v>
      </c>
      <c r="J22" s="11">
        <f>IF(ISERROR(SMALL(I22:I25,1)),"-",SMALL(I22:I25,1))</f>
        <v>10</v>
      </c>
      <c r="K22" s="149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447</v>
      </c>
      <c r="E23" s="15" t="str">
        <f>IF(ISERROR(VLOOKUP($D23,'START LİSTE'!$B$6:$F$836,2,0)),"",VLOOKUP($D23,'START LİSTE'!$B$6:$F$836,2,0))</f>
        <v>FATİH SABAN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844</v>
      </c>
      <c r="H23" s="16">
        <f>IF(OR(F23="",G23="DQ",G23="DNF",G23="DNS",G23=""),"-",VLOOKUP(D23,'FERDİ SONUÇ'!$B$6:$H$962,7,0))</f>
        <v>10</v>
      </c>
      <c r="I23" s="16">
        <f>IF(OR(F23="",F23="F",G23="DQ",G23="DNF",G23="DNS",G23=""),"-",VLOOKUP(D23,'FERDİ SONUÇ'!$B$6:$H$962,7,0))</f>
        <v>10</v>
      </c>
      <c r="J23" s="18">
        <f>IF(ISERROR(SMALL(I22:I25,2)),"-",SMALL(I22:I25,2))</f>
        <v>13</v>
      </c>
      <c r="K23" s="150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3</v>
      </c>
      <c r="B24" s="101">
        <f>IF(AND(C24&lt;&gt;"",N24&lt;&gt;"DQ"),COUNT(N$6:N$1247)-(RANK(N24,N$6:N$1247)+COUNTIF(N$6:N24,N24))+2,IF(D22&lt;&gt;"",BF24,""))</f>
        <v>3</v>
      </c>
      <c r="C24" s="14" t="str">
        <f>IF(ISERROR(VLOOKUP(D22,'START LİSTE'!$B$6:$F$836,3,0)),"",VLOOKUP(D22,'START LİSTE'!$B$6:$F$836,3,0))</f>
        <v>NEVŞEHİR 100.YIL ÜLFET BAŞER İO SP. KLB.</v>
      </c>
      <c r="D24" s="109">
        <v>448</v>
      </c>
      <c r="E24" s="15" t="str">
        <f>IF(ISERROR(VLOOKUP($D24,'START LİSTE'!$B$6:$F$836,2,0)),"",VLOOKUP($D24,'START LİSTE'!$B$6:$F$836,2,0))</f>
        <v>FURKAN AÇIKGÖZ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849</v>
      </c>
      <c r="H24" s="16">
        <f>IF(OR(F24="",G24="DQ",G24="DNF",G24="DNS",G24=""),"-",VLOOKUP(D24,'FERDİ SONUÇ'!$B$6:$H$962,7,0))</f>
        <v>13</v>
      </c>
      <c r="I24" s="16">
        <f>IF(OR(F24="",F24="F",G24="DQ",G24="DNF",G24="DNS",G24=""),"-",VLOOKUP(D24,'FERDİ SONUÇ'!$B$6:$H$962,7,0))</f>
        <v>13</v>
      </c>
      <c r="J24" s="18">
        <f>IF(ISERROR(SMALL(I22:I25,3)),"-",SMALL(I22:I25,3))</f>
        <v>15</v>
      </c>
      <c r="K24" s="150">
        <v>32</v>
      </c>
      <c r="L24" s="98">
        <f>N24</f>
        <v>38.0015</v>
      </c>
      <c r="M24" s="98"/>
      <c r="N24" s="110">
        <f>_xlfn.IFERROR(IF(C24="","",IF(OR(J22="-",J23="-",J24="-"),"DQ",SUM(J22,J23,J24)))+(J24*0.0001),"DQ")</f>
        <v>38.0015</v>
      </c>
      <c r="O24" s="110">
        <f>IF(C24="","",IF(OR(K24="DQ",L24="DQ",M24="DQ"),"DQ",SUM(K24,L24,M24)))</f>
        <v>70.0015</v>
      </c>
      <c r="BF24" s="2">
        <v>1026</v>
      </c>
    </row>
    <row r="25" spans="2:58" ht="15" customHeight="1">
      <c r="B25" s="13"/>
      <c r="C25" s="14"/>
      <c r="D25" s="109">
        <v>449</v>
      </c>
      <c r="E25" s="15" t="str">
        <f>IF(ISERROR(VLOOKUP($D25,'START LİSTE'!$B$6:$F$836,2,0)),"",VLOOKUP($D25,'START LİSTE'!$B$6:$F$836,2,0))</f>
        <v>MUSTAFA SOYLU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908</v>
      </c>
      <c r="H25" s="16">
        <f>IF(OR(F25="",G25="DQ",G25="DNF",G25="DNS",G25=""),"-",VLOOKUP(D25,'FERDİ SONUÇ'!$B$6:$H$962,7,0))</f>
        <v>15</v>
      </c>
      <c r="I25" s="16">
        <f>IF(OR(F25="",F25="F",G25="DQ",G25="DNF",G25="DNS",G25=""),"-",VLOOKUP(D25,'FERDİ SONUÇ'!$B$6:$H$962,7,0))</f>
        <v>15</v>
      </c>
      <c r="J25" s="18">
        <f>IF(ISERROR(SMALL(I22:I25,4)),"-",SMALL(I22:I25,4))</f>
        <v>17</v>
      </c>
      <c r="K25" s="150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450</v>
      </c>
      <c r="E26" s="8" t="str">
        <f>IF(ISERROR(VLOOKUP($D26,'START LİSTE'!$B$6:$F$836,2,0)),"",VLOOKUP($D26,'START LİSTE'!$B$6:$F$836,2,0))</f>
        <v>BEKİR KABADAYI </v>
      </c>
      <c r="F26" s="9" t="str">
        <f>IF(ISERROR(VLOOKUP($D26,'START LİSTE'!$B$6:$F$836,4,0)),"",VLOOKUP($D26,'START LİSTE'!$B$6:$F$836,4,0))</f>
        <v>T</v>
      </c>
      <c r="G26" s="105">
        <f>IF(ISERROR(VLOOKUP($D26,'FERDİ SONUÇ'!$B$6:$H$962,6,0)),"",VLOOKUP($D26,'FERDİ SONUÇ'!$B$6:$H$962,6,0))</f>
        <v>746</v>
      </c>
      <c r="H26" s="9">
        <f>IF(OR(F26="",G26="DQ",G26="DNF",G26="DNS",G26=""),"-",VLOOKUP(D26,'FERDİ SONUÇ'!$B$6:$H$962,7,0))</f>
        <v>1</v>
      </c>
      <c r="I26" s="9">
        <f>IF(OR(F26="",F26="F",G26="DQ",G26="DNF",G26="DNS",G26=""),"-",VLOOKUP(D26,'FERDİ SONUÇ'!$B$6:$H$962,7,0))</f>
        <v>1</v>
      </c>
      <c r="J26" s="11">
        <f>IF(ISERROR(SMALL(I26:I29,1)),"-",SMALL(I26:I29,1))</f>
        <v>1</v>
      </c>
      <c r="K26" s="149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451</v>
      </c>
      <c r="E27" s="15" t="str">
        <f>IF(ISERROR(VLOOKUP($D27,'START LİSTE'!$B$6:$F$836,2,0)),"",VLOOKUP($D27,'START LİSTE'!$B$6:$F$836,2,0))</f>
        <v>OĞUZHAN  FURKAN DEDE</v>
      </c>
      <c r="F27" s="16" t="str">
        <f>IF(ISERROR(VLOOKUP($D27,'START LİSTE'!$B$6:$F$836,4,0)),"",VLOOKUP($D27,'START LİSTE'!$B$6:$F$836,4,0))</f>
        <v>T</v>
      </c>
      <c r="G27" s="106">
        <f>IF(ISERROR(VLOOKUP($D27,'FERDİ SONUÇ'!$B$6:$H$962,6,0)),"",VLOOKUP($D27,'FERDİ SONUÇ'!$B$6:$H$962,6,0))</f>
        <v>754</v>
      </c>
      <c r="H27" s="16">
        <f>IF(OR(F27="",G27="DQ",G27="DNF",G27="DNS",G27=""),"-",VLOOKUP(D27,'FERDİ SONUÇ'!$B$6:$H$962,7,0))</f>
        <v>2</v>
      </c>
      <c r="I27" s="16">
        <f>IF(OR(F27="",F27="F",G27="DQ",G27="DNF",G27="DNS",G27=""),"-",VLOOKUP(D27,'FERDİ SONUÇ'!$B$6:$H$962,7,0))</f>
        <v>2</v>
      </c>
      <c r="J27" s="18">
        <f>IF(ISERROR(SMALL(I26:I29,2)),"-",SMALL(I26:I29,2))</f>
        <v>2</v>
      </c>
      <c r="K27" s="150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1</v>
      </c>
      <c r="B28" s="101">
        <f>IF(AND(C28&lt;&gt;"",N28&lt;&gt;"DQ"),COUNT(N$6:N$1247)-(RANK(N28,N$6:N$1247)+COUNTIF(N$6:N28,N28))+2,IF(D26&lt;&gt;"",BF28,""))</f>
        <v>1</v>
      </c>
      <c r="C28" s="14" t="str">
        <f>IF(ISERROR(VLOOKUP(D26,'START LİSTE'!$B$6:$F$836,3,0)),"",VLOOKUP(D26,'START LİSTE'!$B$6:$F$836,3,0))</f>
        <v>ANKARA-BB ANKARASPOR</v>
      </c>
      <c r="D28" s="109">
        <v>452</v>
      </c>
      <c r="E28" s="15" t="str">
        <f>IF(ISERROR(VLOOKUP($D28,'START LİSTE'!$B$6:$F$836,2,0)),"",VLOOKUP($D28,'START LİSTE'!$B$6:$F$836,2,0))</f>
        <v>ÖZCAN ÇİFTÇİ</v>
      </c>
      <c r="F28" s="16" t="str">
        <f>IF(ISERROR(VLOOKUP($D28,'START LİSTE'!$B$6:$F$836,4,0)),"",VLOOKUP($D28,'START LİSTE'!$B$6:$F$836,4,0))</f>
        <v>T</v>
      </c>
      <c r="G28" s="106">
        <f>IF(ISERROR(VLOOKUP($D28,'FERDİ SONUÇ'!$B$6:$H$962,6,0)),"",VLOOKUP($D28,'FERDİ SONUÇ'!$B$6:$H$962,6,0))</f>
        <v>806</v>
      </c>
      <c r="H28" s="16">
        <f>IF(OR(F28="",G28="DQ",G28="DNF",G28="DNS",G28=""),"-",VLOOKUP(D28,'FERDİ SONUÇ'!$B$6:$H$962,7,0))</f>
        <v>5</v>
      </c>
      <c r="I28" s="16">
        <f>IF(OR(F28="",F28="F",G28="DQ",G28="DNF",G28="DNS",G28=""),"-",VLOOKUP(D28,'FERDİ SONUÇ'!$B$6:$H$962,7,0))</f>
        <v>5</v>
      </c>
      <c r="J28" s="18">
        <f>IF(ISERROR(SMALL(I26:I29,3)),"-",SMALL(I26:I29,3))</f>
        <v>3</v>
      </c>
      <c r="K28" s="150">
        <v>7</v>
      </c>
      <c r="L28" s="98">
        <f>N28</f>
        <v>6.0003</v>
      </c>
      <c r="M28" s="98"/>
      <c r="N28" s="110">
        <f>_xlfn.IFERROR(IF(C28="","",IF(OR(J26="-",J27="-",J28="-"),"DQ",SUM(J26,J27,J28)))+(J28*0.0001),"DQ")</f>
        <v>6.0003</v>
      </c>
      <c r="O28" s="110">
        <f>IF(C28="","",IF(OR(K28="DQ",L28="DQ",M28="DQ"),"DQ",SUM(K28,L28,M28)))</f>
        <v>13.0003</v>
      </c>
      <c r="BF28" s="2">
        <v>1032</v>
      </c>
    </row>
    <row r="29" spans="2:58" ht="15" customHeight="1">
      <c r="B29" s="13"/>
      <c r="C29" s="14"/>
      <c r="D29" s="109">
        <v>453</v>
      </c>
      <c r="E29" s="15" t="str">
        <f>IF(ISERROR(VLOOKUP($D29,'START LİSTE'!$B$6:$F$836,2,0)),"",VLOOKUP($D29,'START LİSTE'!$B$6:$F$836,2,0))</f>
        <v>OĞUZHAN TAŞDEMİR</v>
      </c>
      <c r="F29" s="16" t="str">
        <f>IF(ISERROR(VLOOKUP($D29,'START LİSTE'!$B$6:$F$836,4,0)),"",VLOOKUP($D29,'START LİSTE'!$B$6:$F$836,4,0))</f>
        <v>T</v>
      </c>
      <c r="G29" s="106">
        <f>IF(ISERROR(VLOOKUP($D29,'FERDİ SONUÇ'!$B$6:$H$962,6,0)),"",VLOOKUP($D29,'FERDİ SONUÇ'!$B$6:$H$962,6,0))</f>
        <v>757</v>
      </c>
      <c r="H29" s="16">
        <f>IF(OR(F29="",G29="DQ",G29="DNF",G29="DNS",G29=""),"-",VLOOKUP(D29,'FERDİ SONUÇ'!$B$6:$H$962,7,0))</f>
        <v>3</v>
      </c>
      <c r="I29" s="16">
        <f>IF(OR(F29="",F29="F",G29="DQ",G29="DNF",G29="DNS",G29=""),"-",VLOOKUP(D29,'FERDİ SONUÇ'!$B$6:$H$962,7,0))</f>
        <v>3</v>
      </c>
      <c r="J29" s="18">
        <f>IF(ISERROR(SMALL(I26:I29,4)),"-",SMALL(I26:I29,4))</f>
        <v>5</v>
      </c>
      <c r="K29" s="150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>
        <v>454</v>
      </c>
      <c r="E30" s="8" t="str">
        <f>IF(ISERROR(VLOOKUP($D30,'START LİSTE'!$B$6:$F$836,2,0)),"",VLOOKUP($D30,'START LİSTE'!$B$6:$F$836,2,0))</f>
        <v>EDİP ERÇİN</v>
      </c>
      <c r="F30" s="9" t="str">
        <f>IF(ISERROR(VLOOKUP($D30,'START LİSTE'!$B$6:$F$836,4,0)),"",VLOOKUP($D30,'START LİSTE'!$B$6:$F$836,4,0))</f>
        <v>T</v>
      </c>
      <c r="G30" s="105">
        <f>IF(ISERROR(VLOOKUP($D30,'FERDİ SONUÇ'!$B$6:$H$962,6,0)),"",VLOOKUP($D30,'FERDİ SONUÇ'!$B$6:$H$962,6,0))</f>
        <v>823</v>
      </c>
      <c r="H30" s="9">
        <f>IF(OR(F30="",G30="DQ",G30="DNF",G30="DNS",G30=""),"-",VLOOKUP(D30,'FERDİ SONUÇ'!$B$6:$H$962,7,0))</f>
        <v>6</v>
      </c>
      <c r="I30" s="9">
        <f>IF(OR(F30="",F30="F",G30="DQ",G30="DNF",G30="DNS",G30=""),"-",VLOOKUP(D30,'FERDİ SONUÇ'!$B$6:$H$962,7,0))</f>
        <v>6</v>
      </c>
      <c r="J30" s="11">
        <f>IF(ISERROR(SMALL(I30:I33,1)),"-",SMALL(I30:I33,1))</f>
        <v>6</v>
      </c>
      <c r="K30" s="149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>
        <v>455</v>
      </c>
      <c r="E31" s="15" t="str">
        <f>IF(ISERROR(VLOOKUP($D31,'START LİSTE'!$B$6:$F$836,2,0)),"",VLOOKUP($D31,'START LİSTE'!$B$6:$F$836,2,0))</f>
        <v>FURKAN GÜVERCİNLİ</v>
      </c>
      <c r="F31" s="16" t="str">
        <f>IF(ISERROR(VLOOKUP($D31,'START LİSTE'!$B$6:$F$836,4,0)),"",VLOOKUP($D31,'START LİSTE'!$B$6:$F$836,4,0))</f>
        <v>T</v>
      </c>
      <c r="G31" s="106" t="str">
        <f>IF(ISERROR(VLOOKUP($D31,'FERDİ SONUÇ'!$B$6:$H$962,6,0)),"",VLOOKUP($D31,'FERDİ SONUÇ'!$B$6:$H$962,6,0))</f>
        <v>DNF</v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>
        <f>IF(ISERROR(SMALL(I30:I33,2)),"-",SMALL(I30:I33,2))</f>
        <v>16</v>
      </c>
      <c r="K31" s="150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  <v>1038</v>
      </c>
      <c r="B32" s="101">
        <f>IF(AND(C32&lt;&gt;"",N32&lt;&gt;"DQ"),COUNT(N$6:N$1247)-(RANK(N32,N$6:N$1247)+COUNTIF(N$6:N32,N32))+2,IF(D30&lt;&gt;"",BF32,""))</f>
        <v>1038</v>
      </c>
      <c r="C32" s="14" t="str">
        <f>IF(ISERROR(VLOOKUP(D30,'START LİSTE'!$B$6:$F$836,3,0)),"",VLOOKUP(D30,'START LİSTE'!$B$6:$F$836,3,0))</f>
        <v>NEVŞEHİR GHSİM S.K</v>
      </c>
      <c r="D32" s="109">
        <v>456</v>
      </c>
      <c r="E32" s="15" t="str">
        <f>IF(ISERROR(VLOOKUP($D32,'START LİSTE'!$B$6:$F$836,2,0)),"",VLOOKUP($D32,'START LİSTE'!$B$6:$F$836,2,0))</f>
        <v>ZEKERYA KOCATEPE</v>
      </c>
      <c r="F32" s="16" t="str">
        <f>IF(ISERROR(VLOOKUP($D32,'START LİSTE'!$B$6:$F$836,4,0)),"",VLOOKUP($D32,'START LİSTE'!$B$6:$F$836,4,0))</f>
        <v>T</v>
      </c>
      <c r="G32" s="106">
        <f>IF(ISERROR(VLOOKUP($D32,'FERDİ SONUÇ'!$B$6:$H$962,6,0)),"",VLOOKUP($D32,'FERDİ SONUÇ'!$B$6:$H$962,6,0))</f>
        <v>919</v>
      </c>
      <c r="H32" s="16">
        <f>IF(OR(F32="",G32="DQ",G32="DNF",G32="DNS",G32=""),"-",VLOOKUP(D32,'FERDİ SONUÇ'!$B$6:$H$962,7,0))</f>
        <v>16</v>
      </c>
      <c r="I32" s="16">
        <f>IF(OR(F32="",F32="F",G32="DQ",G32="DNF",G32="DNS",G32=""),"-",VLOOKUP(D32,'FERDİ SONUÇ'!$B$6:$H$962,7,0))</f>
        <v>16</v>
      </c>
      <c r="J32" s="18" t="str">
        <f>IF(ISERROR(SMALL(I30:I33,3)),"-",SMALL(I30:I33,3))</f>
        <v>-</v>
      </c>
      <c r="K32" s="150">
        <v>46</v>
      </c>
      <c r="L32" s="98" t="str">
        <f>N32</f>
        <v>DQ</v>
      </c>
      <c r="M32" s="98"/>
      <c r="N32" s="110" t="str">
        <f>_xlfn.IFERROR(IF(C32="","",IF(OR(J30="-",J31="-",J32="-"),"DQ",SUM(J30,J31,J32)))+(J32*0.0001),"DQ")</f>
        <v>DQ</v>
      </c>
      <c r="O32" s="110" t="str">
        <f>IF(C32="","",IF(OR(K32="DQ",L32="DQ",M32="DQ"),"DQ",SUM(K32,L32,M32)))</f>
        <v>DQ</v>
      </c>
      <c r="BF32" s="2">
        <v>1038</v>
      </c>
    </row>
    <row r="33" spans="2:58" ht="15" customHeight="1">
      <c r="B33" s="13"/>
      <c r="C33" s="14"/>
      <c r="D33" s="109">
        <v>457</v>
      </c>
      <c r="E33" s="15" t="str">
        <f>IF(ISERROR(VLOOKUP($D33,'START LİSTE'!$B$6:$F$836,2,0)),"",VLOOKUP($D33,'START LİSTE'!$B$6:$F$836,2,0))</f>
        <v>HAKAN KÖSTEKÇİ</v>
      </c>
      <c r="F33" s="16" t="str">
        <f>IF(ISERROR(VLOOKUP($D33,'START LİSTE'!$B$6:$F$836,4,0)),"",VLOOKUP($D33,'START LİSTE'!$B$6:$F$836,4,0))</f>
        <v>T</v>
      </c>
      <c r="G33" s="106" t="str">
        <f>IF(ISERROR(VLOOKUP($D33,'FERDİ SONUÇ'!$B$6:$H$962,6,0)),"",VLOOKUP($D33,'FERDİ SONUÇ'!$B$6:$H$962,6,0))</f>
        <v>DNS</v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150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>
        <v>458</v>
      </c>
      <c r="E34" s="8" t="str">
        <f>IF(ISERROR(VLOOKUP($D34,'START LİSTE'!$B$6:$F$836,2,0)),"",VLOOKUP($D34,'START LİSTE'!$B$6:$F$836,2,0))</f>
        <v>AHAT KARATAŞ</v>
      </c>
      <c r="F34" s="9" t="str">
        <f>IF(ISERROR(VLOOKUP($D34,'START LİSTE'!$B$6:$F$836,4,0)),"",VLOOKUP($D34,'START LİSTE'!$B$6:$F$836,4,0))</f>
        <v>T</v>
      </c>
      <c r="G34" s="105">
        <f>IF(ISERROR(VLOOKUP($D34,'FERDİ SONUÇ'!$B$6:$H$962,6,0)),"",VLOOKUP($D34,'FERDİ SONUÇ'!$B$6:$H$962,6,0))</f>
        <v>1003</v>
      </c>
      <c r="H34" s="9">
        <f>IF(OR(F34="",G34="DQ",G34="DNF",G34="DNS",G34=""),"-",VLOOKUP(D34,'FERDİ SONUÇ'!$B$6:$H$962,7,0))</f>
        <v>20</v>
      </c>
      <c r="I34" s="9">
        <f>IF(OR(F34="",F34="F",G34="DQ",G34="DNF",G34="DNS",G34=""),"-",VLOOKUP(D34,'FERDİ SONUÇ'!$B$6:$H$962,7,0))</f>
        <v>20</v>
      </c>
      <c r="J34" s="11">
        <f>IF(ISERROR(SMALL(I34:I37,1)),"-",SMALL(I34:I37,1))</f>
        <v>12</v>
      </c>
      <c r="K34" s="149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>
        <v>459</v>
      </c>
      <c r="E35" s="15" t="str">
        <f>IF(ISERROR(VLOOKUP($D35,'START LİSTE'!$B$6:$F$836,2,0)),"",VLOOKUP($D35,'START LİSTE'!$B$6:$F$836,2,0))</f>
        <v>EMRE DOĞAN</v>
      </c>
      <c r="F35" s="16" t="str">
        <f>IF(ISERROR(VLOOKUP($D35,'START LİSTE'!$B$6:$F$836,4,0)),"",VLOOKUP($D35,'START LİSTE'!$B$6:$F$836,4,0))</f>
        <v>T</v>
      </c>
      <c r="G35" s="106">
        <f>IF(ISERROR(VLOOKUP($D35,'FERDİ SONUÇ'!$B$6:$H$962,6,0)),"",VLOOKUP($D35,'FERDİ SONUÇ'!$B$6:$H$962,6,0))</f>
        <v>848</v>
      </c>
      <c r="H35" s="16">
        <f>IF(OR(F35="",G35="DQ",G35="DNF",G35="DNS",G35=""),"-",VLOOKUP(D35,'FERDİ SONUÇ'!$B$6:$H$962,7,0))</f>
        <v>12</v>
      </c>
      <c r="I35" s="16">
        <f>IF(OR(F35="",F35="F",G35="DQ",G35="DNF",G35="DNS",G35=""),"-",VLOOKUP(D35,'FERDİ SONUÇ'!$B$6:$H$962,7,0))</f>
        <v>12</v>
      </c>
      <c r="J35" s="18">
        <f>IF(ISERROR(SMALL(I34:I37,2)),"-",SMALL(I34:I37,2))</f>
        <v>14</v>
      </c>
      <c r="K35" s="150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  <v>4</v>
      </c>
      <c r="B36" s="101">
        <f>IF(AND(C36&lt;&gt;"",N36&lt;&gt;"DQ"),COUNT(N$6:N$1247)-(RANK(N36,N$6:N$1247)+COUNTIF(N$6:N36,N36))+2,IF(D34&lt;&gt;"",BF36,""))</f>
        <v>4</v>
      </c>
      <c r="C36" s="14" t="str">
        <f>IF(ISERROR(VLOOKUP(D34,'START LİSTE'!$B$6:$F$836,3,0)),"",VLOOKUP(D34,'START LİSTE'!$B$6:$F$836,3,0))</f>
        <v>SPORCU EĞİTİM MERKEZİGENÇLİK VE SPOR KÜLÜBÜ</v>
      </c>
      <c r="D36" s="109">
        <v>460</v>
      </c>
      <c r="E36" s="15" t="str">
        <f>IF(ISERROR(VLOOKUP($D36,'START LİSTE'!$B$6:$F$836,2,0)),"",VLOOKUP($D36,'START LİSTE'!$B$6:$F$836,2,0))</f>
        <v>UMUT BİNİCİ</v>
      </c>
      <c r="F36" s="16" t="str">
        <f>IF(ISERROR(VLOOKUP($D36,'START LİSTE'!$B$6:$F$836,4,0)),"",VLOOKUP($D36,'START LİSTE'!$B$6:$F$836,4,0))</f>
        <v>T</v>
      </c>
      <c r="G36" s="106">
        <f>IF(ISERROR(VLOOKUP($D36,'FERDİ SONUÇ'!$B$6:$H$962,6,0)),"",VLOOKUP($D36,'FERDİ SONUÇ'!$B$6:$H$962,6,0))</f>
        <v>859</v>
      </c>
      <c r="H36" s="16">
        <f>IF(OR(F36="",G36="DQ",G36="DNF",G36="DNS",G36=""),"-",VLOOKUP(D36,'FERDİ SONUÇ'!$B$6:$H$962,7,0))</f>
        <v>14</v>
      </c>
      <c r="I36" s="16">
        <f>IF(OR(F36="",F36="F",G36="DQ",G36="DNF",G36="DNS",G36=""),"-",VLOOKUP(D36,'FERDİ SONUÇ'!$B$6:$H$962,7,0))</f>
        <v>14</v>
      </c>
      <c r="J36" s="18">
        <f>IF(ISERROR(SMALL(I34:I37,3)),"-",SMALL(I34:I37,3))</f>
        <v>20</v>
      </c>
      <c r="K36" s="150">
        <v>52</v>
      </c>
      <c r="L36" s="98">
        <f>N36</f>
        <v>46.002</v>
      </c>
      <c r="M36" s="98"/>
      <c r="N36" s="110">
        <f>_xlfn.IFERROR(IF(C36="","",IF(OR(J34="-",J35="-",J36="-"),"DQ",SUM(J34,J35,J36)))+(J36*0.0001),"DQ")</f>
        <v>46.002</v>
      </c>
      <c r="O36" s="110">
        <f>IF(C36="","",IF(OR(K36="DQ",L36="DQ",M36="DQ"),"DQ",SUM(K36,L36,M36)))</f>
        <v>98.00200000000001</v>
      </c>
      <c r="BF36" s="2">
        <v>1044</v>
      </c>
    </row>
    <row r="37" spans="2:58" ht="15" customHeight="1">
      <c r="B37" s="13"/>
      <c r="C37" s="14"/>
      <c r="D37" s="109">
        <v>461</v>
      </c>
      <c r="E37" s="15" t="str">
        <f>IF(ISERROR(VLOOKUP($D37,'START LİSTE'!$B$6:$F$836,2,0)),"",VLOOKUP($D37,'START LİSTE'!$B$6:$F$836,2,0))</f>
        <v>SEFA DUMAN</v>
      </c>
      <c r="F37" s="16" t="str">
        <f>IF(ISERROR(VLOOKUP($D37,'START LİSTE'!$B$6:$F$836,4,0)),"",VLOOKUP($D37,'START LİSTE'!$B$6:$F$836,4,0))</f>
        <v>T</v>
      </c>
      <c r="G37" s="106">
        <f>IF(ISERROR(VLOOKUP($D37,'FERDİ SONUÇ'!$B$6:$H$962,6,0)),"",VLOOKUP($D37,'FERDİ SONUÇ'!$B$6:$H$962,6,0))</f>
        <v>1147</v>
      </c>
      <c r="H37" s="16">
        <f>IF(OR(F37="",G37="DQ",G37="DNF",G37="DNS",G37=""),"-",VLOOKUP(D37,'FERDİ SONUÇ'!$B$6:$H$962,7,0))</f>
        <v>28</v>
      </c>
      <c r="I37" s="16">
        <f>IF(OR(F37="",F37="F",G37="DQ",G37="DNF",G37="DNS",G37=""),"-",VLOOKUP(D37,'FERDİ SONUÇ'!$B$6:$H$962,7,0))</f>
        <v>28</v>
      </c>
      <c r="J37" s="18">
        <f>IF(ISERROR(SMALL(I34:I37,4)),"-",SMALL(I34:I37,4))</f>
        <v>28</v>
      </c>
      <c r="K37" s="150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>
        <v>462</v>
      </c>
      <c r="E38" s="8" t="str">
        <f>IF(ISERROR(VLOOKUP($D38,'START LİSTE'!$B$6:$F$836,2,0)),"",VLOOKUP($D38,'START LİSTE'!$B$6:$F$836,2,0))</f>
        <v>OĞUZHAN OLKUN</v>
      </c>
      <c r="F38" s="9" t="str">
        <f>IF(ISERROR(VLOOKUP($D38,'START LİSTE'!$B$6:$F$836,4,0)),"",VLOOKUP($D38,'START LİSTE'!$B$6:$F$836,4,0))</f>
        <v>T</v>
      </c>
      <c r="G38" s="105" t="str">
        <f>IF(ISERROR(VLOOKUP($D38,'FERDİ SONUÇ'!$B$6:$H$962,6,0)),"",VLOOKUP($D38,'FERDİ SONUÇ'!$B$6:$H$962,6,0))</f>
        <v>DNS</v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>
        <f>IF(ISERROR(SMALL(I38:I41,1)),"-",SMALL(I38:I41,1))</f>
        <v>19</v>
      </c>
      <c r="K38" s="149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>
        <v>463</v>
      </c>
      <c r="E39" s="15" t="str">
        <f>IF(ISERROR(VLOOKUP($D39,'START LİSTE'!$B$6:$F$836,2,0)),"",VLOOKUP($D39,'START LİSTE'!$B$6:$F$836,2,0))</f>
        <v>YUSUF PEKTAŞ</v>
      </c>
      <c r="F39" s="16" t="str">
        <f>IF(ISERROR(VLOOKUP($D39,'START LİSTE'!$B$6:$F$836,4,0)),"",VLOOKUP($D39,'START LİSTE'!$B$6:$F$836,4,0))</f>
        <v>T</v>
      </c>
      <c r="G39" s="106">
        <f>IF(ISERROR(VLOOKUP($D39,'FERDİ SONUÇ'!$B$6:$H$962,6,0)),"",VLOOKUP($D39,'FERDİ SONUÇ'!$B$6:$H$962,6,0))</f>
        <v>939</v>
      </c>
      <c r="H39" s="16">
        <f>IF(OR(F39="",G39="DQ",G39="DNF",G39="DNS",G39=""),"-",VLOOKUP(D39,'FERDİ SONUÇ'!$B$6:$H$962,7,0))</f>
        <v>19</v>
      </c>
      <c r="I39" s="16">
        <f>IF(OR(F39="",F39="F",G39="DQ",G39="DNF",G39="DNS",G39=""),"-",VLOOKUP(D39,'FERDİ SONUÇ'!$B$6:$H$962,7,0))</f>
        <v>19</v>
      </c>
      <c r="J39" s="18">
        <f>IF(ISERROR(SMALL(I38:I41,2)),"-",SMALL(I38:I41,2))</f>
        <v>21</v>
      </c>
      <c r="K39" s="150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  <v>6</v>
      </c>
      <c r="B40" s="101">
        <f>IF(AND(C40&lt;&gt;"",N40&lt;&gt;"DQ"),COUNT(N$6:N$1247)-(RANK(N40,N$6:N$1247)+COUNTIF(N$6:N40,N40))+2,IF(D38&lt;&gt;"",BF40,""))</f>
        <v>7</v>
      </c>
      <c r="C40" s="14" t="str">
        <f>IF(ISERROR(VLOOKUP(D38,'START LİSTE'!$B$6:$F$836,3,0)),"",VLOOKUP(D38,'START LİSTE'!$B$6:$F$836,3,0))</f>
        <v>ESKİŞEHİR BÜYÜKŞEHİR G.S.K</v>
      </c>
      <c r="D40" s="109">
        <v>464</v>
      </c>
      <c r="E40" s="15" t="str">
        <f>IF(ISERROR(VLOOKUP($D40,'START LİSTE'!$B$6:$F$836,2,0)),"",VLOOKUP($D40,'START LİSTE'!$B$6:$F$836,2,0))</f>
        <v>HÜSEYİN KARACA</v>
      </c>
      <c r="F40" s="16" t="str">
        <f>IF(ISERROR(VLOOKUP($D40,'START LİSTE'!$B$6:$F$836,4,0)),"",VLOOKUP($D40,'START LİSTE'!$B$6:$F$836,4,0))</f>
        <v>T</v>
      </c>
      <c r="G40" s="106">
        <f>IF(ISERROR(VLOOKUP($D40,'FERDİ SONUÇ'!$B$6:$H$962,6,0)),"",VLOOKUP($D40,'FERDİ SONUÇ'!$B$6:$H$962,6,0))</f>
        <v>1015</v>
      </c>
      <c r="H40" s="16">
        <f>IF(OR(F40="",G40="DQ",G40="DNF",G40="DNS",G40=""),"-",VLOOKUP(D40,'FERDİ SONUÇ'!$B$6:$H$962,7,0))</f>
        <v>21</v>
      </c>
      <c r="I40" s="16">
        <f>IF(OR(F40="",F40="F",G40="DQ",G40="DNF",G40="DNS",G40=""),"-",VLOOKUP(D40,'FERDİ SONUÇ'!$B$6:$H$962,7,0))</f>
        <v>21</v>
      </c>
      <c r="J40" s="18">
        <f>IF(ISERROR(SMALL(I38:I41,3)),"-",SMALL(I38:I41,3))</f>
        <v>25</v>
      </c>
      <c r="K40" s="150">
        <v>52</v>
      </c>
      <c r="L40" s="98">
        <f>N40</f>
        <v>65.0025</v>
      </c>
      <c r="M40" s="98"/>
      <c r="N40" s="110">
        <f>_xlfn.IFERROR(IF(C40="","",IF(OR(J38="-",J39="-",J40="-"),"DQ",SUM(J38,J39,J40)))+(J40*0.0001),"DQ")</f>
        <v>65.0025</v>
      </c>
      <c r="O40" s="110">
        <f>IF(C40="","",IF(OR(K40="DQ",L40="DQ",M40="DQ"),"DQ",SUM(K40,L40,M40)))</f>
        <v>117.0025</v>
      </c>
      <c r="BF40" s="2">
        <v>1050</v>
      </c>
    </row>
    <row r="41" spans="2:58" ht="15" customHeight="1">
      <c r="B41" s="13"/>
      <c r="C41" s="14"/>
      <c r="D41" s="109">
        <v>467</v>
      </c>
      <c r="E41" s="15" t="str">
        <f>IF(ISERROR(VLOOKUP($D41,'START LİSTE'!$B$6:$F$836,2,0)),"",VLOOKUP($D41,'START LİSTE'!$B$6:$F$836,2,0))</f>
        <v>FURKAN KILINÇ   (PROTESTOLU)</v>
      </c>
      <c r="F41" s="16" t="str">
        <f>IF(ISERROR(VLOOKUP($D41,'START LİSTE'!$B$6:$F$836,4,0)),"",VLOOKUP($D41,'START LİSTE'!$B$6:$F$836,4,0))</f>
        <v>T</v>
      </c>
      <c r="G41" s="106">
        <f>IF(ISERROR(VLOOKUP($D41,'FERDİ SONUÇ'!$B$6:$H$962,6,0)),"",VLOOKUP($D41,'FERDİ SONUÇ'!$B$6:$H$962,6,0))</f>
        <v>1054</v>
      </c>
      <c r="H41" s="16">
        <f>IF(OR(F41="",G41="DQ",G41="DNF",G41="DNS",G41=""),"-",VLOOKUP(D41,'FERDİ SONUÇ'!$B$6:$H$962,7,0))</f>
        <v>25</v>
      </c>
      <c r="I41" s="16">
        <f>IF(OR(F41="",F41="F",G41="DQ",G41="DNF",G41="DNS",G41=""),"-",VLOOKUP(D41,'FERDİ SONUÇ'!$B$6:$H$962,7,0))</f>
        <v>25</v>
      </c>
      <c r="J41" s="18" t="str">
        <f>IF(ISERROR(SMALL(I38:I41,4)),"-",SMALL(I38:I41,4))</f>
        <v>-</v>
      </c>
      <c r="K41" s="150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5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6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</c>
      <c r="B44" s="101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9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6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8"/>
      <c r="L44" s="98" t="str">
        <f>N44</f>
        <v>DQ</v>
      </c>
      <c r="M44" s="98"/>
      <c r="N44" s="110" t="str">
        <f>_xlfn.IFERROR(IF(C44="","",IF(OR(J42="-",J43="-",J44="-"),"DQ",SUM(J42,J43,J44)))+(J44*0.0001),"DQ")</f>
        <v>DQ</v>
      </c>
      <c r="O44" s="110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9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6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5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6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</c>
      <c r="B48" s="101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9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6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8"/>
      <c r="L48" s="98" t="str">
        <f>N48</f>
        <v>DQ</v>
      </c>
      <c r="M48" s="98"/>
      <c r="N48" s="110" t="str">
        <f>_xlfn.IFERROR(IF(C48="","",IF(OR(J46="-",J47="-",J48="-"),"DQ",SUM(J46,J47,J48)))+(J48*0.0001),"DQ")</f>
        <v>DQ</v>
      </c>
      <c r="O48" s="110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9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6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5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6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</c>
      <c r="B52" s="101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9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6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8"/>
      <c r="L52" s="98" t="str">
        <f>N52</f>
        <v>DQ</v>
      </c>
      <c r="M52" s="98"/>
      <c r="N52" s="110" t="str">
        <f>_xlfn.IFERROR(IF(C52="","",IF(OR(J50="-",J51="-",J52="-"),"DQ",SUM(J50,J51,J52)))+(J52*0.0001),"DQ")</f>
        <v>DQ</v>
      </c>
      <c r="O52" s="110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9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6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/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/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/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/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/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/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/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/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/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/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/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/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/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/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/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/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/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/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J11" sqref="J11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4" t="str">
        <f>KAPAK!A2</f>
        <v>Ankara Atletizm İl Temsilciliği</v>
      </c>
      <c r="B1" s="184"/>
      <c r="C1" s="184"/>
      <c r="D1" s="184"/>
      <c r="E1" s="184"/>
      <c r="F1" s="184"/>
      <c r="G1" s="184"/>
      <c r="H1" s="184"/>
    </row>
    <row r="2" spans="1:8" s="1" customFormat="1" ht="14.25">
      <c r="A2" s="188" t="str">
        <f>KAPAK!B24</f>
        <v>Küçükler ve Yıldızlar Bölgesel Kros Ligi 2.Kademe Yarışmaları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KAPAK!B27</f>
        <v>Ankara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90" t="str">
        <f>KAPAK!B26</f>
        <v>Yıldız Erkekler</v>
      </c>
      <c r="B4" s="190"/>
      <c r="C4" s="182" t="str">
        <f>KAPAK!B25</f>
        <v>2.5 km.</v>
      </c>
      <c r="D4" s="182"/>
      <c r="E4" s="41"/>
      <c r="F4" s="183">
        <f>KAPAK!B28</f>
        <v>41938.458333333336</v>
      </c>
      <c r="G4" s="183"/>
      <c r="H4" s="183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450</v>
      </c>
      <c r="D6" s="8" t="str">
        <f>IF(ISERROR(VLOOKUP($C6,'START LİSTE'!$B$6:$F$836,2,0)),"",VLOOKUP($C6,'START LİSTE'!$B$6:$F$836,2,0))</f>
        <v>BEKİR KABADAYI 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746</v>
      </c>
      <c r="G6" s="42">
        <f>IF(OR(E6="",F6="DQ",F6="DNF",F6="DNS",F6=""),"-",VLOOKUP(C6,'FERDİ SONUÇ'!$B$6:$H$962,7,0))</f>
        <v>1</v>
      </c>
      <c r="H6" s="145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451</v>
      </c>
      <c r="D7" s="15" t="str">
        <f>IF(ISERROR(VLOOKUP($C7,'START LİSTE'!$B$6:$F$836,2,0)),"",VLOOKUP($C7,'START LİSTE'!$B$6:$F$836,2,0))</f>
        <v>OĞUZHAN  FURKAN DEDE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754</v>
      </c>
      <c r="G7" s="43">
        <f>IF(OR(E7="",F7="DQ",F7="DNF",F7="DNS",F7=""),"-",VLOOKUP(C7,'FERDİ SONUÇ'!$B$6:$H$962,7,0))</f>
        <v>2</v>
      </c>
      <c r="H7" s="146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ANKARA-BB ANKARASPOR</v>
      </c>
      <c r="C8" s="96">
        <f>IF(A8="","",VLOOKUP(A8,'TAKIM KAYIT'!$B$6:$O$125,3,FALSE))</f>
        <v>452</v>
      </c>
      <c r="D8" s="15" t="str">
        <f>IF(ISERROR(VLOOKUP($C8,'START LİSTE'!$B$6:$F$836,2,0)),"",VLOOKUP($C8,'START LİSTE'!$B$6:$F$836,2,0))</f>
        <v>ÖZCAN ÇİFTÇİ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806</v>
      </c>
      <c r="G8" s="43">
        <f>IF(OR(E8="",F8="DQ",F8="DNF",F8="DNS",F8=""),"-",VLOOKUP(C8,'FERDİ SONUÇ'!$B$6:$H$962,7,0))</f>
        <v>5</v>
      </c>
      <c r="H8" s="141">
        <f>IF(A8="","",VLOOKUP(A8,'TAKIM KAYIT'!$B$6:$P$125,13,FALSE))</f>
        <v>6.0003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453</v>
      </c>
      <c r="D9" s="15" t="str">
        <f>IF(ISERROR(VLOOKUP($C9,'START LİSTE'!$B$6:$F$836,2,0)),"",VLOOKUP($C9,'START LİSTE'!$B$6:$F$836,2,0))</f>
        <v>OĞUZHAN TAŞDEMİR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757</v>
      </c>
      <c r="G9" s="43">
        <f>IF(OR(E9="",F9="DQ",F9="DNF",F9="DNS",F9=""),"-",VLOOKUP(C9,'FERDİ SONUÇ'!$B$6:$H$962,7,0))</f>
        <v>3</v>
      </c>
      <c r="H9" s="146"/>
    </row>
    <row r="10" spans="1:8" ht="14.25" customHeight="1">
      <c r="A10" s="6"/>
      <c r="B10" s="7"/>
      <c r="C10" s="95">
        <f>IF(A12="","",INDEX('TAKIM KAYIT'!$D$6:$D$125,MATCH(C12,'TAKIM KAYIT'!$D$6:$D$125,0)-2))</f>
        <v>430</v>
      </c>
      <c r="D10" s="8" t="str">
        <f>IF(ISERROR(VLOOKUP($C10,'START LİSTE'!$B$6:$F$836,2,0)),"",VLOOKUP($C10,'START LİSTE'!$B$6:$F$836,2,0))</f>
        <v>HÜSEYİN  BOZKUŞ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803</v>
      </c>
      <c r="G10" s="42">
        <f>IF(OR(E10="",F10="DQ",F10="DNF",F10="DNS",F10=""),"-",VLOOKUP(C10,'FERDİ SONUÇ'!$B$6:$H$962,7,0))</f>
        <v>4</v>
      </c>
      <c r="H10" s="145"/>
    </row>
    <row r="11" spans="1:8" ht="14.25" customHeight="1">
      <c r="A11" s="13"/>
      <c r="B11" s="14"/>
      <c r="C11" s="96">
        <f>IF(A12="","",INDEX('TAKIM KAYIT'!$D$6:$D$125,MATCH(C12,'TAKIM KAYIT'!$D$6:$D$125,0)-1))</f>
        <v>431</v>
      </c>
      <c r="D11" s="15" t="str">
        <f>IF(ISERROR(VLOOKUP($C11,'START LİSTE'!$B$6:$F$836,2,0)),"",VLOOKUP($C11,'START LİSTE'!$B$6:$F$836,2,0))</f>
        <v>YUNUS  ÖLGER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830</v>
      </c>
      <c r="G11" s="43">
        <f>IF(OR(E11="",F11="DQ",F11="DNF",F11="DNS",F11=""),"-",VLOOKUP(C11,'FERDİ SONUÇ'!$B$6:$H$962,7,0))</f>
        <v>7</v>
      </c>
      <c r="H11" s="146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KONYA EREĞLİ ŞEKER SPOR</v>
      </c>
      <c r="C12" s="96">
        <f>IF(A12="","",VLOOKUP(A12,'TAKIM KAYIT'!$B$6:$O$125,3,FALSE))</f>
        <v>432</v>
      </c>
      <c r="D12" s="15" t="str">
        <f>IF(ISERROR(VLOOKUP($C12,'START LİSTE'!$B$6:$F$836,2,0)),"",VLOOKUP($C12,'START LİSTE'!$B$6:$F$836,2,0))</f>
        <v>NECATİ BİNGÖL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843</v>
      </c>
      <c r="G12" s="43">
        <f>IF(OR(E12="",F12="DQ",F12="DNF",F12="DNS",F12=""),"-",VLOOKUP(C12,'FERDİ SONUÇ'!$B$6:$H$962,7,0))</f>
        <v>9</v>
      </c>
      <c r="H12" s="141">
        <f>IF(A12="","",VLOOKUP(A12,'TAKIM KAYIT'!$B$6:$P$125,13,FALSE))</f>
        <v>20.0009</v>
      </c>
    </row>
    <row r="13" spans="1:8" ht="14.25" customHeight="1">
      <c r="A13" s="13"/>
      <c r="B13" s="14"/>
      <c r="C13" s="96">
        <f>IF(A12="","",INDEX('TAKIM KAYIT'!$D$6:$D$125,MATCH(C12,'TAKIM KAYIT'!$D$6:$D$125,0)+1))</f>
        <v>433</v>
      </c>
      <c r="D13" s="15" t="str">
        <f>IF(ISERROR(VLOOKUP($C13,'START LİSTE'!$B$6:$F$836,2,0)),"",VLOOKUP($C13,'START LİSTE'!$B$6:$F$836,2,0))</f>
        <v>M.CAN ADACIL</v>
      </c>
      <c r="E13" s="16" t="str">
        <f>IF(ISERROR(VLOOKUP($C13,'START LİSTE'!$B$6:$F$836,4,0)),"",VLOOKUP($C13,'START LİSTE'!$B$6:$F$836,4,0))</f>
        <v>T</v>
      </c>
      <c r="F13" s="106" t="str">
        <f>IF(ISERROR(VLOOKUP($C13,'FERDİ SONUÇ'!$B$6:$H$962,6,0)),"",VLOOKUP($C13,'FERDİ SONUÇ'!$B$6:$H$962,6,0))</f>
        <v>DNF</v>
      </c>
      <c r="G13" s="43" t="str">
        <f>IF(OR(E13="",F13="DQ",F13="DNF",F13="DNS",F13=""),"-",VLOOKUP(C13,'FERDİ SONUÇ'!$B$6:$H$962,7,0))</f>
        <v>-</v>
      </c>
      <c r="H13" s="146"/>
    </row>
    <row r="14" spans="1:8" ht="14.25" customHeight="1">
      <c r="A14" s="6"/>
      <c r="B14" s="7"/>
      <c r="C14" s="95">
        <f>IF(A16="","",INDEX('TAKIM KAYIT'!$D$6:$D$125,MATCH(C16,'TAKIM KAYIT'!$D$6:$D$125,0)-2))</f>
        <v>446</v>
      </c>
      <c r="D14" s="8" t="str">
        <f>IF(ISERROR(VLOOKUP($C14,'START LİSTE'!$B$6:$F$836,2,0)),"",VLOOKUP($C14,'START LİSTE'!$B$6:$F$836,2,0))</f>
        <v>RAMAZAN ÇELİK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925</v>
      </c>
      <c r="G14" s="42">
        <f>IF(OR(E14="",F14="DQ",F14="DNF",F14="DNS",F14=""),"-",VLOOKUP(C14,'FERDİ SONUÇ'!$B$6:$H$962,7,0))</f>
        <v>17</v>
      </c>
      <c r="H14" s="145"/>
    </row>
    <row r="15" spans="1:8" ht="14.25" customHeight="1">
      <c r="A15" s="13"/>
      <c r="B15" s="14"/>
      <c r="C15" s="96">
        <f>IF(A16="","",INDEX('TAKIM KAYIT'!$D$6:$D$125,MATCH(C16,'TAKIM KAYIT'!$D$6:$D$125,0)-1))</f>
        <v>447</v>
      </c>
      <c r="D15" s="15" t="str">
        <f>IF(ISERROR(VLOOKUP($C15,'START LİSTE'!$B$6:$F$836,2,0)),"",VLOOKUP($C15,'START LİSTE'!$B$6:$F$836,2,0))</f>
        <v>FATİH SABAN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844</v>
      </c>
      <c r="G15" s="43">
        <f>IF(OR(E15="",F15="DQ",F15="DNF",F15="DNS",F15=""),"-",VLOOKUP(C15,'FERDİ SONUÇ'!$B$6:$H$962,7,0))</f>
        <v>10</v>
      </c>
      <c r="H15" s="146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NEVŞEHİR 100.YIL ÜLFET BAŞER İO SP. KLB.</v>
      </c>
      <c r="C16" s="96">
        <f>IF(A16="","",VLOOKUP(A16,'TAKIM KAYIT'!$B$6:$O$125,3,FALSE))</f>
        <v>448</v>
      </c>
      <c r="D16" s="15" t="str">
        <f>IF(ISERROR(VLOOKUP($C16,'START LİSTE'!$B$6:$F$836,2,0)),"",VLOOKUP($C16,'START LİSTE'!$B$6:$F$836,2,0))</f>
        <v>FURKAN AÇIKGÖZ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849</v>
      </c>
      <c r="G16" s="43">
        <f>IF(OR(E16="",F16="DQ",F16="DNF",F16="DNS",F16=""),"-",VLOOKUP(C16,'FERDİ SONUÇ'!$B$6:$H$962,7,0))</f>
        <v>13</v>
      </c>
      <c r="H16" s="141">
        <f>IF(A16="","",VLOOKUP(A16,'TAKIM KAYIT'!$B$6:$P$125,13,FALSE))</f>
        <v>38.0015</v>
      </c>
    </row>
    <row r="17" spans="1:8" ht="14.25" customHeight="1">
      <c r="A17" s="13"/>
      <c r="B17" s="14"/>
      <c r="C17" s="96">
        <f>IF(A16="","",INDEX('TAKIM KAYIT'!$D$6:$D$125,MATCH(C16,'TAKIM KAYIT'!$D$6:$D$125,0)+1))</f>
        <v>449</v>
      </c>
      <c r="D17" s="15" t="str">
        <f>IF(ISERROR(VLOOKUP($C17,'START LİSTE'!$B$6:$F$836,2,0)),"",VLOOKUP($C17,'START LİSTE'!$B$6:$F$836,2,0))</f>
        <v>MUSTAFA SOYLU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908</v>
      </c>
      <c r="G17" s="43">
        <f>IF(OR(E17="",F17="DQ",F17="DNF",F17="DNS",F17=""),"-",VLOOKUP(C17,'FERDİ SONUÇ'!$B$6:$H$962,7,0))</f>
        <v>15</v>
      </c>
      <c r="H17" s="146"/>
    </row>
    <row r="18" spans="1:8" ht="14.25" customHeight="1">
      <c r="A18" s="6"/>
      <c r="B18" s="7"/>
      <c r="C18" s="95">
        <f>IF(A20="","",INDEX('TAKIM KAYIT'!$D$6:$D$125,MATCH(C20,'TAKIM KAYIT'!$D$6:$D$125,0)-2))</f>
        <v>458</v>
      </c>
      <c r="D18" s="8" t="str">
        <f>IF(ISERROR(VLOOKUP($C18,'START LİSTE'!$B$6:$F$836,2,0)),"",VLOOKUP($C18,'START LİSTE'!$B$6:$F$836,2,0))</f>
        <v>AHAT KARATAŞ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1003</v>
      </c>
      <c r="G18" s="11">
        <f>IF(OR(E18="",F18="DQ",F18="DNF",F18="DNS",F18=""),"-",VLOOKUP(C18,'FERDİ SONUÇ'!$B$6:$H$962,7,0))</f>
        <v>20</v>
      </c>
      <c r="H18" s="145"/>
    </row>
    <row r="19" spans="1:8" ht="14.25" customHeight="1">
      <c r="A19" s="13"/>
      <c r="B19" s="14"/>
      <c r="C19" s="96">
        <f>IF(A20="","",INDEX('TAKIM KAYIT'!$D$6:$D$125,MATCH(C20,'TAKIM KAYIT'!$D$6:$D$125,0)-1))</f>
        <v>459</v>
      </c>
      <c r="D19" s="15" t="str">
        <f>IF(ISERROR(VLOOKUP($C19,'START LİSTE'!$B$6:$F$836,2,0)),"",VLOOKUP($C19,'START LİSTE'!$B$6:$F$836,2,0))</f>
        <v>EMRE DOĞAN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848</v>
      </c>
      <c r="G19" s="18">
        <f>IF(OR(E19="",F19="DQ",F19="DNF",F19="DNS",F19=""),"-",VLOOKUP(C19,'FERDİ SONUÇ'!$B$6:$H$962,7,0))</f>
        <v>12</v>
      </c>
      <c r="H19" s="146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SPORCU EĞİTİM MERKEZİGENÇLİK VE SPOR KÜLÜBÜ</v>
      </c>
      <c r="C20" s="96">
        <f>IF(A20="","",VLOOKUP(A20,'TAKIM KAYIT'!$B$6:$O$125,3,FALSE))</f>
        <v>460</v>
      </c>
      <c r="D20" s="15" t="str">
        <f>IF(ISERROR(VLOOKUP($C20,'START LİSTE'!$B$6:$F$836,2,0)),"",VLOOKUP($C20,'START LİSTE'!$B$6:$F$836,2,0))</f>
        <v>UMUT BİNİCİ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859</v>
      </c>
      <c r="G20" s="18">
        <f>IF(OR(E20="",F20="DQ",F20="DNF",F20="DNS",F20=""),"-",VLOOKUP(C20,'FERDİ SONUÇ'!$B$6:$H$962,7,0))</f>
        <v>14</v>
      </c>
      <c r="H20" s="141">
        <f>IF(A20="","",VLOOKUP(A20,'TAKIM KAYIT'!$B$6:$P$125,13,FALSE))</f>
        <v>46.002</v>
      </c>
    </row>
    <row r="21" spans="1:8" ht="14.25" customHeight="1">
      <c r="A21" s="13"/>
      <c r="B21" s="14"/>
      <c r="C21" s="96">
        <f>IF(A20="","",INDEX('TAKIM KAYIT'!$D$6:$D$125,MATCH(C20,'TAKIM KAYIT'!$D$6:$D$125,0)+1))</f>
        <v>461</v>
      </c>
      <c r="D21" s="15" t="str">
        <f>IF(ISERROR(VLOOKUP($C21,'START LİSTE'!$B$6:$F$836,2,0)),"",VLOOKUP($C21,'START LİSTE'!$B$6:$F$836,2,0))</f>
        <v>SEFA DUMAN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1147</v>
      </c>
      <c r="G21" s="18">
        <f>IF(OR(E21="",F21="DQ",F21="DNF",F21="DNS",F21=""),"-",VLOOKUP(C21,'FERDİ SONUÇ'!$B$6:$H$962,7,0))</f>
        <v>28</v>
      </c>
      <c r="H21" s="146"/>
    </row>
    <row r="22" spans="1:8" ht="14.25" customHeight="1">
      <c r="A22" s="6"/>
      <c r="B22" s="7"/>
      <c r="C22" s="95">
        <f>IF(A24="","",INDEX('TAKIM KAYIT'!$D$6:$D$125,MATCH(C24,'TAKIM KAYIT'!$D$6:$D$125,0)-2))</f>
        <v>434</v>
      </c>
      <c r="D22" s="8" t="str">
        <f>IF(ISERROR(VLOOKUP($C22,'START LİSTE'!$B$6:$F$836,2,0)),"",VLOOKUP($C22,'START LİSTE'!$B$6:$F$836,2,0))</f>
        <v>BURAK YİĞİT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928</v>
      </c>
      <c r="G22" s="11">
        <f>IF(OR(E22="",F22="DQ",F22="DNF",F22="DNS",F22=""),"-",VLOOKUP(C22,'FERDİ SONUÇ'!$B$6:$H$962,7,0))</f>
        <v>18</v>
      </c>
      <c r="H22" s="145"/>
    </row>
    <row r="23" spans="1:8" ht="14.25" customHeight="1">
      <c r="A23" s="13"/>
      <c r="B23" s="14"/>
      <c r="C23" s="96">
        <f>IF(A24="","",INDEX('TAKIM KAYIT'!$D$6:$D$125,MATCH(C24,'TAKIM KAYIT'!$D$6:$D$125,0)-1))</f>
        <v>435</v>
      </c>
      <c r="D23" s="15" t="str">
        <f>IF(ISERROR(VLOOKUP($C23,'START LİSTE'!$B$6:$F$836,2,0)),"",VLOOKUP($C23,'START LİSTE'!$B$6:$F$836,2,0))</f>
        <v>EYÜP TUMBUL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1140</v>
      </c>
      <c r="G23" s="18">
        <f>IF(OR(E23="",F23="DQ",F23="DNF",F23="DNS",F23=""),"-",VLOOKUP(C23,'FERDİ SONUÇ'!$B$6:$H$962,7,0))</f>
        <v>27</v>
      </c>
      <c r="H23" s="146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SİVAS-EĞİTİM SPOR</v>
      </c>
      <c r="C24" s="96">
        <f>IF(A24="","",VLOOKUP(A24,'TAKIM KAYIT'!$B$6:$O$125,3,FALSE))</f>
        <v>436</v>
      </c>
      <c r="D24" s="15" t="str">
        <f>IF(ISERROR(VLOOKUP($C24,'START LİSTE'!$B$6:$F$836,2,0)),"",VLOOKUP($C24,'START LİSTE'!$B$6:$F$836,2,0))</f>
        <v>EMRE ÜNALAN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837</v>
      </c>
      <c r="G24" s="18">
        <f>IF(OR(E24="",F24="DQ",F24="DNF",F24="DNS",F24=""),"-",VLOOKUP(C24,'FERDİ SONUÇ'!$B$6:$H$962,7,0))</f>
        <v>8</v>
      </c>
      <c r="H24" s="141">
        <f>IF(A24="","",VLOOKUP(A24,'TAKIM KAYIT'!$B$6:$P$125,13,FALSE))</f>
        <v>49.0023</v>
      </c>
    </row>
    <row r="25" spans="1:8" ht="14.25" customHeight="1">
      <c r="A25" s="13"/>
      <c r="B25" s="14"/>
      <c r="C25" s="96">
        <f>IF(A24="","",INDEX('TAKIM KAYIT'!$D$6:$D$125,MATCH(C24,'TAKIM KAYIT'!$D$6:$D$125,0)+1))</f>
        <v>437</v>
      </c>
      <c r="D25" s="15" t="str">
        <f>IF(ISERROR(VLOOKUP($C25,'START LİSTE'!$B$6:$F$836,2,0)),"",VLOOKUP($C25,'START LİSTE'!$B$6:$F$836,2,0))</f>
        <v>SERKAN KOÇAN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1020</v>
      </c>
      <c r="G25" s="18">
        <f>IF(OR(E25="",F25="DQ",F25="DNF",F25="DNS",F25=""),"-",VLOOKUP(C25,'FERDİ SONUÇ'!$B$6:$H$962,7,0))</f>
        <v>23</v>
      </c>
      <c r="H25" s="146"/>
    </row>
    <row r="26" spans="1:8" ht="14.25" customHeight="1">
      <c r="A26" s="6"/>
      <c r="B26" s="7"/>
      <c r="C26" s="95">
        <f>IF(A28="","",INDEX('TAKIM KAYIT'!$D$6:$D$125,MATCH(C28,'TAKIM KAYIT'!$D$6:$D$125,0)-2))</f>
        <v>442</v>
      </c>
      <c r="D26" s="8" t="str">
        <f>IF(ISERROR(VLOOKUP($C26,'START LİSTE'!$B$6:$F$836,2,0)),"",VLOOKUP($C26,'START LİSTE'!$B$6:$F$836,2,0))</f>
        <v>FEVZİ ERSAN</v>
      </c>
      <c r="E26" s="9" t="str">
        <f>IF(ISERROR(VLOOKUP($C26,'START LİSTE'!$B$6:$F$836,4,0)),"",VLOOKUP($C26,'START LİSTE'!$B$6:$F$836,4,0))</f>
        <v>T</v>
      </c>
      <c r="F26" s="105">
        <f>IF(ISERROR(VLOOKUP($C26,'FERDİ SONUÇ'!$B$6:$H$962,6,0)),"",VLOOKUP($C26,'FERDİ SONUÇ'!$B$6:$H$962,6,0))</f>
        <v>1209</v>
      </c>
      <c r="G26" s="11">
        <f>IF(OR(E26="",F26="DQ",F26="DNF",F26="DNS",F26=""),"-",VLOOKUP(C26,'FERDİ SONUÇ'!$B$6:$H$962,7,0))</f>
        <v>29</v>
      </c>
      <c r="H26" s="145"/>
    </row>
    <row r="27" spans="1:8" ht="14.25" customHeight="1">
      <c r="A27" s="13"/>
      <c r="B27" s="14"/>
      <c r="C27" s="96">
        <f>IF(A28="","",INDEX('TAKIM KAYIT'!$D$6:$D$125,MATCH(C28,'TAKIM KAYIT'!$D$6:$D$125,0)-1))</f>
        <v>443</v>
      </c>
      <c r="D27" s="15" t="str">
        <f>IF(ISERROR(VLOOKUP($C27,'START LİSTE'!$B$6:$F$836,2,0)),"",VLOOKUP($C27,'START LİSTE'!$B$6:$F$836,2,0))</f>
        <v>DERVİŞ GÖRGEÇ</v>
      </c>
      <c r="E27" s="16" t="str">
        <f>IF(ISERROR(VLOOKUP($C27,'START LİSTE'!$B$6:$F$836,4,0)),"",VLOOKUP($C27,'START LİSTE'!$B$6:$F$836,4,0))</f>
        <v>T</v>
      </c>
      <c r="F27" s="106">
        <f>IF(ISERROR(VLOOKUP($C27,'FERDİ SONUÇ'!$B$6:$H$962,6,0)),"",VLOOKUP($C27,'FERDİ SONUÇ'!$B$6:$H$962,6,0))</f>
        <v>1050</v>
      </c>
      <c r="G27" s="18">
        <f>IF(OR(E27="",F27="DQ",F27="DNF",F27="DNS",F27=""),"-",VLOOKUP(C27,'FERDİ SONUÇ'!$B$6:$H$962,7,0))</f>
        <v>24</v>
      </c>
      <c r="H27" s="146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KIRŞEHİR - BELEDİYE GENÇLİK SP. K.</v>
      </c>
      <c r="C28" s="96">
        <f>IF(A28="","",VLOOKUP(A28,'TAKIM KAYIT'!$B$6:$O$125,3,FALSE))</f>
        <v>444</v>
      </c>
      <c r="D28" s="15" t="str">
        <f>IF(ISERROR(VLOOKUP($C28,'START LİSTE'!$B$6:$F$836,2,0)),"",VLOOKUP($C28,'START LİSTE'!$B$6:$F$836,2,0))</f>
        <v>HASAN ÇELİK</v>
      </c>
      <c r="E28" s="16" t="str">
        <f>IF(ISERROR(VLOOKUP($C28,'START LİSTE'!$B$6:$F$836,4,0)),"",VLOOKUP($C28,'START LİSTE'!$B$6:$F$836,4,0))</f>
        <v>T</v>
      </c>
      <c r="F28" s="106">
        <f>IF(ISERROR(VLOOKUP($C28,'FERDİ SONUÇ'!$B$6:$H$962,6,0)),"",VLOOKUP($C28,'FERDİ SONUÇ'!$B$6:$H$962,6,0))</f>
        <v>845</v>
      </c>
      <c r="G28" s="18">
        <f>IF(OR(E28="",F28="DQ",F28="DNF",F28="DNS",F28=""),"-",VLOOKUP(C28,'FERDİ SONUÇ'!$B$6:$H$962,7,0))</f>
        <v>11</v>
      </c>
      <c r="H28" s="141">
        <f>IF(A28="","",VLOOKUP(A28,'TAKIM KAYIT'!$B$6:$P$125,13,FALSE))</f>
        <v>57.0024</v>
      </c>
    </row>
    <row r="29" spans="1:8" ht="14.25" customHeight="1">
      <c r="A29" s="13"/>
      <c r="B29" s="14"/>
      <c r="C29" s="96">
        <f>IF(A28="","",INDEX('TAKIM KAYIT'!$D$6:$D$125,MATCH(C28,'TAKIM KAYIT'!$D$6:$D$125,0)+1))</f>
        <v>445</v>
      </c>
      <c r="D29" s="15" t="str">
        <f>IF(ISERROR(VLOOKUP($C29,'START LİSTE'!$B$6:$F$836,2,0)),"",VLOOKUP($C29,'START LİSTE'!$B$6:$F$836,2,0))</f>
        <v>MAHİR DENİZ YİĞİT</v>
      </c>
      <c r="E29" s="16" t="str">
        <f>IF(ISERROR(VLOOKUP($C29,'START LİSTE'!$B$6:$F$836,4,0)),"",VLOOKUP($C29,'START LİSTE'!$B$6:$F$836,4,0))</f>
        <v>T</v>
      </c>
      <c r="F29" s="106">
        <f>IF(ISERROR(VLOOKUP($C29,'FERDİ SONUÇ'!$B$6:$H$962,6,0)),"",VLOOKUP($C29,'FERDİ SONUÇ'!$B$6:$H$962,6,0))</f>
        <v>10418</v>
      </c>
      <c r="G29" s="18">
        <f>IF(OR(E29="",F29="DQ",F29="DNF",F29="DNS",F29=""),"-",VLOOKUP(C29,'FERDİ SONUÇ'!$B$6:$H$962,7,0))</f>
        <v>22</v>
      </c>
      <c r="H29" s="146"/>
    </row>
    <row r="30" spans="1:8" ht="14.25" customHeight="1">
      <c r="A30" s="6"/>
      <c r="B30" s="7"/>
      <c r="C30" s="95">
        <f>IF(A32="","",INDEX('TAKIM KAYIT'!$D$6:$D$125,MATCH(C32,'TAKIM KAYIT'!$D$6:$D$125,0)-2))</f>
        <v>462</v>
      </c>
      <c r="D30" s="8" t="str">
        <f>IF(ISERROR(VLOOKUP($C30,'START LİSTE'!$B$6:$F$836,2,0)),"",VLOOKUP($C30,'START LİSTE'!$B$6:$F$836,2,0))</f>
        <v>OĞUZHAN OLKUN</v>
      </c>
      <c r="E30" s="9" t="str">
        <f>IF(ISERROR(VLOOKUP($C30,'START LİSTE'!$B$6:$F$836,4,0)),"",VLOOKUP($C30,'START LİSTE'!$B$6:$F$836,4,0))</f>
        <v>T</v>
      </c>
      <c r="F30" s="105" t="str">
        <f>IF(ISERROR(VLOOKUP($C30,'FERDİ SONUÇ'!$B$6:$H$962,6,0)),"",VLOOKUP($C30,'FERDİ SONUÇ'!$B$6:$H$962,6,0))</f>
        <v>DNS</v>
      </c>
      <c r="G30" s="11" t="str">
        <f>IF(OR(E30="",F30="DQ",F30="DNF",F30="DNS",F30=""),"-",VLOOKUP(C30,'FERDİ SONUÇ'!$B$6:$H$962,7,0))</f>
        <v>-</v>
      </c>
      <c r="H30" s="145"/>
    </row>
    <row r="31" spans="1:8" ht="14.25" customHeight="1">
      <c r="A31" s="13"/>
      <c r="B31" s="14"/>
      <c r="C31" s="96">
        <f>IF(A32="","",INDEX('TAKIM KAYIT'!$D$6:$D$125,MATCH(C32,'TAKIM KAYIT'!$D$6:$D$125,0)-1))</f>
        <v>463</v>
      </c>
      <c r="D31" s="15" t="str">
        <f>IF(ISERROR(VLOOKUP($C31,'START LİSTE'!$B$6:$F$836,2,0)),"",VLOOKUP($C31,'START LİSTE'!$B$6:$F$836,2,0))</f>
        <v>YUSUF PEKTAŞ</v>
      </c>
      <c r="E31" s="16" t="str">
        <f>IF(ISERROR(VLOOKUP($C31,'START LİSTE'!$B$6:$F$836,4,0)),"",VLOOKUP($C31,'START LİSTE'!$B$6:$F$836,4,0))</f>
        <v>T</v>
      </c>
      <c r="F31" s="106">
        <f>IF(ISERROR(VLOOKUP($C31,'FERDİ SONUÇ'!$B$6:$H$962,6,0)),"",VLOOKUP($C31,'FERDİ SONUÇ'!$B$6:$H$962,6,0))</f>
        <v>939</v>
      </c>
      <c r="G31" s="18">
        <f>IF(OR(E31="",F31="DQ",F31="DNF",F31="DNS",F31=""),"-",VLOOKUP(C31,'FERDİ SONUÇ'!$B$6:$H$962,7,0))</f>
        <v>19</v>
      </c>
      <c r="H31" s="146"/>
    </row>
    <row r="32" spans="1:8" ht="14.25" customHeight="1">
      <c r="A32" s="44">
        <f>IF(ISERROR(SMALL('TAKIM KAYIT'!$B$6:$B$125,7)),"",SMALL('TAKIM KAYIT'!$B$6:$B$125,7))</f>
        <v>7</v>
      </c>
      <c r="B32" s="14" t="str">
        <f>IF(A32="","",VLOOKUP(A32,'TAKIM KAYIT'!$B$6:$O$125,2,FALSE))</f>
        <v>ESKİŞEHİR BÜYÜKŞEHİR G.S.K</v>
      </c>
      <c r="C32" s="96">
        <f>IF(A32="","",VLOOKUP(A32,'TAKIM KAYIT'!$B$6:$O$125,3,FALSE))</f>
        <v>464</v>
      </c>
      <c r="D32" s="15" t="str">
        <f>IF(ISERROR(VLOOKUP($C32,'START LİSTE'!$B$6:$F$836,2,0)),"",VLOOKUP($C32,'START LİSTE'!$B$6:$F$836,2,0))</f>
        <v>HÜSEYİN KARACA</v>
      </c>
      <c r="E32" s="16" t="str">
        <f>IF(ISERROR(VLOOKUP($C32,'START LİSTE'!$B$6:$F$836,4,0)),"",VLOOKUP($C32,'START LİSTE'!$B$6:$F$836,4,0))</f>
        <v>T</v>
      </c>
      <c r="F32" s="106">
        <f>IF(ISERROR(VLOOKUP($C32,'FERDİ SONUÇ'!$B$6:$H$962,6,0)),"",VLOOKUP($C32,'FERDİ SONUÇ'!$B$6:$H$962,6,0))</f>
        <v>1015</v>
      </c>
      <c r="G32" s="18">
        <f>IF(OR(E32="",F32="DQ",F32="DNF",F32="DNS",F32=""),"-",VLOOKUP(C32,'FERDİ SONUÇ'!$B$6:$H$962,7,0))</f>
        <v>21</v>
      </c>
      <c r="H32" s="141">
        <f>IF(A32="","",VLOOKUP(A32,'TAKIM KAYIT'!$B$6:$P$125,13,FALSE))</f>
        <v>65.0025</v>
      </c>
    </row>
    <row r="33" spans="1:8" ht="14.25" customHeight="1">
      <c r="A33" s="13"/>
      <c r="B33" s="14"/>
      <c r="C33" s="96">
        <f>IF(A32="","",INDEX('TAKIM KAYIT'!$D$6:$D$125,MATCH(C32,'TAKIM KAYIT'!$D$6:$D$125,0)+1))</f>
        <v>467</v>
      </c>
      <c r="D33" s="15" t="str">
        <f>IF(ISERROR(VLOOKUP($C33,'START LİSTE'!$B$6:$F$836,2,0)),"",VLOOKUP($C33,'START LİSTE'!$B$6:$F$836,2,0))</f>
        <v>FURKAN KILINÇ   (PROTESTOLU)</v>
      </c>
      <c r="E33" s="16" t="str">
        <f>IF(ISERROR(VLOOKUP($C33,'START LİSTE'!$B$6:$F$836,4,0)),"",VLOOKUP($C33,'START LİSTE'!$B$6:$F$836,4,0))</f>
        <v>T</v>
      </c>
      <c r="F33" s="106">
        <f>IF(ISERROR(VLOOKUP($C33,'FERDİ SONUÇ'!$B$6:$H$962,6,0)),"",VLOOKUP($C33,'FERDİ SONUÇ'!$B$6:$H$962,6,0))</f>
        <v>1054</v>
      </c>
      <c r="G33" s="18">
        <f>IF(OR(E33="",F33="DQ",F33="DNF",F33="DNS",F33=""),"-",VLOOKUP(C33,'FERDİ SONUÇ'!$B$6:$H$962,7,0))</f>
        <v>25</v>
      </c>
      <c r="H33" s="146"/>
    </row>
    <row r="34" spans="1:8" ht="14.25" customHeight="1">
      <c r="A34" s="6"/>
      <c r="B34" s="7"/>
      <c r="C34" s="95">
        <f>IF(A36="","",INDEX('TAKIM KAYIT'!$D$6:$D$125,MATCH(C36,'TAKIM KAYIT'!$D$6:$D$125,0)-2))</f>
        <v>438</v>
      </c>
      <c r="D34" s="8" t="str">
        <f>IF(ISERROR(VLOOKUP($C34,'START LİSTE'!$B$6:$F$836,2,0)),"",VLOOKUP($C34,'START LİSTE'!$B$6:$F$836,2,0))</f>
        <v>MUSTAFA YILMAZ</v>
      </c>
      <c r="E34" s="9" t="str">
        <f>IF(ISERROR(VLOOKUP($C34,'START LİSTE'!$B$6:$F$836,4,0)),"",VLOOKUP($C34,'START LİSTE'!$B$6:$F$836,4,0))</f>
        <v>T</v>
      </c>
      <c r="F34" s="105">
        <f>IF(ISERROR(VLOOKUP($C34,'FERDİ SONUÇ'!$B$6:$H$962,6,0)),"",VLOOKUP($C34,'FERDİ SONUÇ'!$B$6:$H$962,6,0))</f>
        <v>1059</v>
      </c>
      <c r="G34" s="11">
        <f>IF(OR(E34="",F34="DQ",F34="DNF",F34="DNS",F34=""),"-",VLOOKUP(C34,'FERDİ SONUÇ'!$B$6:$H$962,7,0))</f>
        <v>26</v>
      </c>
      <c r="H34" s="145"/>
    </row>
    <row r="35" spans="1:8" ht="14.25" customHeight="1">
      <c r="A35" s="13"/>
      <c r="B35" s="14"/>
      <c r="C35" s="96">
        <f>IF(A36="","",INDEX('TAKIM KAYIT'!$D$6:$D$125,MATCH(C36,'TAKIM KAYIT'!$D$6:$D$125,0)-1))</f>
        <v>439</v>
      </c>
      <c r="D35" s="15" t="str">
        <f>IF(ISERROR(VLOOKUP($C35,'START LİSTE'!$B$6:$F$836,2,0)),"",VLOOKUP($C35,'START LİSTE'!$B$6:$F$836,2,0))</f>
        <v>CEBRAİL CEYLAN</v>
      </c>
      <c r="E35" s="16" t="str">
        <f>IF(ISERROR(VLOOKUP($C35,'START LİSTE'!$B$6:$F$836,4,0)),"",VLOOKUP($C35,'START LİSTE'!$B$6:$F$836,4,0))</f>
        <v>T</v>
      </c>
      <c r="F35" s="106" t="str">
        <f>IF(ISERROR(VLOOKUP($C35,'FERDİ SONUÇ'!$B$6:$H$962,6,0)),"",VLOOKUP($C35,'FERDİ SONUÇ'!$B$6:$H$962,6,0))</f>
        <v>DNF</v>
      </c>
      <c r="G35" s="18" t="str">
        <f>IF(OR(E35="",F35="DQ",F35="DNF",F35="DNS",F35=""),"-",VLOOKUP(C35,'FERDİ SONUÇ'!$B$6:$H$962,7,0))</f>
        <v>-</v>
      </c>
      <c r="H35" s="146"/>
    </row>
    <row r="36" spans="1:8" ht="14.25" customHeight="1">
      <c r="A36" s="44">
        <f>IF(ISERROR(SMALL('TAKIM KAYIT'!$B$6:$B$125,8)),"",SMALL('TAKIM KAYIT'!$B$6:$B$125,8))</f>
        <v>1014</v>
      </c>
      <c r="B36" s="14" t="str">
        <f>IF(A36="","",VLOOKUP(A36,'TAKIM KAYIT'!$B$6:$O$125,2,FALSE))</f>
        <v>KIRŞEHİR- KIRŞEHİR LİSESİ S. KLB</v>
      </c>
      <c r="C36" s="96">
        <f>IF(A36="","",VLOOKUP(A36,'TAKIM KAYIT'!$B$6:$O$125,3,FALSE))</f>
        <v>440</v>
      </c>
      <c r="D36" s="15" t="str">
        <f>IF(ISERROR(VLOOKUP($C36,'START LİSTE'!$B$6:$F$836,2,0)),"",VLOOKUP($C36,'START LİSTE'!$B$6:$F$836,2,0))</f>
        <v>YUNUS EMRE BALDEDE</v>
      </c>
      <c r="E36" s="16" t="str">
        <f>IF(ISERROR(VLOOKUP($C36,'START LİSTE'!$B$6:$F$836,4,0)),"",VLOOKUP($C36,'START LİSTE'!$B$6:$F$836,4,0))</f>
        <v>T</v>
      </c>
      <c r="F36" s="106" t="str">
        <f>IF(ISERROR(VLOOKUP($C36,'FERDİ SONUÇ'!$B$6:$H$962,6,0)),"",VLOOKUP($C36,'FERDİ SONUÇ'!$B$6:$H$962,6,0))</f>
        <v>DNF</v>
      </c>
      <c r="G36" s="18" t="str">
        <f>IF(OR(E36="",F36="DQ",F36="DNF",F36="DNS",F36=""),"-",VLOOKUP(C36,'FERDİ SONUÇ'!$B$6:$H$962,7,0))</f>
        <v>-</v>
      </c>
      <c r="H36" s="141" t="str">
        <f>IF(A36="","",VLOOKUP(A36,'TAKIM KAYIT'!$B$6:$P$125,13,FALSE))</f>
        <v>DQ</v>
      </c>
    </row>
    <row r="37" spans="1:8" ht="14.25" customHeight="1">
      <c r="A37" s="21"/>
      <c r="B37" s="22"/>
      <c r="C37" s="99">
        <f>IF(A36="","",INDEX('TAKIM KAYIT'!$D$6:$D$125,MATCH(C36,'TAKIM KAYIT'!$D$6:$D$125,0)+1))</f>
        <v>441</v>
      </c>
      <c r="D37" s="23" t="str">
        <f>IF(ISERROR(VLOOKUP($C37,'START LİSTE'!$B$6:$F$836,2,0)),"",VLOOKUP($C37,'START LİSTE'!$B$6:$F$836,2,0))</f>
        <v>ONUR UÇAR</v>
      </c>
      <c r="E37" s="24" t="str">
        <f>IF(ISERROR(VLOOKUP($C37,'START LİSTE'!$B$6:$F$836,4,0)),"",VLOOKUP($C37,'START LİSTE'!$B$6:$F$836,4,0))</f>
        <v>T</v>
      </c>
      <c r="F37" s="107">
        <f>IF(ISERROR(VLOOKUP($C37,'FERDİ SONUÇ'!$B$6:$H$962,6,0)),"",VLOOKUP($C37,'FERDİ SONUÇ'!$B$6:$H$962,6,0))</f>
        <v>1214</v>
      </c>
      <c r="G37" s="25">
        <f>IF(OR(E37="",F37="DQ",F37="DNF",F37="DNS",F37=""),"-",VLOOKUP(C37,'FERDİ SONUÇ'!$B$6:$H$962,7,0))</f>
        <v>30</v>
      </c>
      <c r="H37" s="147"/>
    </row>
    <row r="38" spans="1:8" ht="14.25" customHeight="1">
      <c r="A38" s="6"/>
      <c r="B38" s="7"/>
      <c r="C38" s="95">
        <f>IF(A40="","",INDEX('TAKIM KAYIT'!$D$6:$D$125,MATCH(C40,'TAKIM KAYIT'!$D$6:$D$125,0)-2))</f>
        <v>454</v>
      </c>
      <c r="D38" s="8" t="str">
        <f>IF(ISERROR(VLOOKUP($C38,'START LİSTE'!$B$6:$F$836,2,0)),"",VLOOKUP($C38,'START LİSTE'!$B$6:$F$836,2,0))</f>
        <v>EDİP ERÇİN</v>
      </c>
      <c r="E38" s="9" t="str">
        <f>IF(ISERROR(VLOOKUP($C38,'START LİSTE'!$B$6:$F$836,4,0)),"",VLOOKUP($C38,'START LİSTE'!$B$6:$F$836,4,0))</f>
        <v>T</v>
      </c>
      <c r="F38" s="105">
        <f>IF(ISERROR(VLOOKUP($C38,'FERDİ SONUÇ'!$B$6:$H$962,6,0)),"",VLOOKUP($C38,'FERDİ SONUÇ'!$B$6:$H$962,6,0))</f>
        <v>823</v>
      </c>
      <c r="G38" s="11">
        <f>IF(OR(E38="",F38="DQ",F38="DNF",F38="DNS",F38=""),"-",VLOOKUP(C38,'FERDİ SONUÇ'!$B$6:$H$962,7,0))</f>
        <v>6</v>
      </c>
      <c r="H38" s="145"/>
    </row>
    <row r="39" spans="1:8" ht="14.25" customHeight="1">
      <c r="A39" s="13"/>
      <c r="B39" s="14"/>
      <c r="C39" s="96">
        <f>IF(A40="","",INDEX('TAKIM KAYIT'!$D$6:$D$125,MATCH(C40,'TAKIM KAYIT'!$D$6:$D$125,0)-1))</f>
        <v>455</v>
      </c>
      <c r="D39" s="15" t="str">
        <f>IF(ISERROR(VLOOKUP($C39,'START LİSTE'!$B$6:$F$836,2,0)),"",VLOOKUP($C39,'START LİSTE'!$B$6:$F$836,2,0))</f>
        <v>FURKAN GÜVERCİNLİ</v>
      </c>
      <c r="E39" s="16" t="str">
        <f>IF(ISERROR(VLOOKUP($C39,'START LİSTE'!$B$6:$F$836,4,0)),"",VLOOKUP($C39,'START LİSTE'!$B$6:$F$836,4,0))</f>
        <v>T</v>
      </c>
      <c r="F39" s="106" t="str">
        <f>IF(ISERROR(VLOOKUP($C39,'FERDİ SONUÇ'!$B$6:$H$962,6,0)),"",VLOOKUP($C39,'FERDİ SONUÇ'!$B$6:$H$962,6,0))</f>
        <v>DNF</v>
      </c>
      <c r="G39" s="18" t="str">
        <f>IF(OR(E39="",F39="DQ",F39="DNF",F39="DNS",F39=""),"-",VLOOKUP(C39,'FERDİ SONUÇ'!$B$6:$H$962,7,0))</f>
        <v>-</v>
      </c>
      <c r="H39" s="146"/>
    </row>
    <row r="40" spans="1:8" ht="14.25" customHeight="1">
      <c r="A40" s="44">
        <f>IF(ISERROR(SMALL('TAKIM KAYIT'!$B$6:$B$125,9)),"",SMALL('TAKIM KAYIT'!$B$6:$B$125,9))</f>
        <v>1038</v>
      </c>
      <c r="B40" s="14" t="str">
        <f>IF(A40="","",VLOOKUP(A40,'TAKIM KAYIT'!$B$6:$O$125,2,FALSE))</f>
        <v>NEVŞEHİR GHSİM S.K</v>
      </c>
      <c r="C40" s="96">
        <f>IF(A40="","",VLOOKUP(A40,'TAKIM KAYIT'!$B$6:$O$125,3,FALSE))</f>
        <v>456</v>
      </c>
      <c r="D40" s="15" t="str">
        <f>IF(ISERROR(VLOOKUP($C40,'START LİSTE'!$B$6:$F$836,2,0)),"",VLOOKUP($C40,'START LİSTE'!$B$6:$F$836,2,0))</f>
        <v>ZEKERYA KOCATEPE</v>
      </c>
      <c r="E40" s="16" t="str">
        <f>IF(ISERROR(VLOOKUP($C40,'START LİSTE'!$B$6:$F$836,4,0)),"",VLOOKUP($C40,'START LİSTE'!$B$6:$F$836,4,0))</f>
        <v>T</v>
      </c>
      <c r="F40" s="106">
        <f>IF(ISERROR(VLOOKUP($C40,'FERDİ SONUÇ'!$B$6:$H$962,6,0)),"",VLOOKUP($C40,'FERDİ SONUÇ'!$B$6:$H$962,6,0))</f>
        <v>919</v>
      </c>
      <c r="G40" s="18">
        <f>IF(OR(E40="",F40="DQ",F40="DNF",F40="DNS",F40=""),"-",VLOOKUP(C40,'FERDİ SONUÇ'!$B$6:$H$962,7,0))</f>
        <v>16</v>
      </c>
      <c r="H40" s="141" t="str">
        <f>IF(A40="","",VLOOKUP(A40,'TAKIM KAYIT'!$B$6:$P$125,13,FALSE))</f>
        <v>DQ</v>
      </c>
    </row>
    <row r="41" spans="1:8" ht="14.25" customHeight="1">
      <c r="A41" s="13"/>
      <c r="B41" s="14"/>
      <c r="C41" s="96">
        <f>IF(A40="","",INDEX('TAKIM KAYIT'!$D$6:$D$125,MATCH(C40,'TAKIM KAYIT'!$D$6:$D$125,0)+1))</f>
        <v>457</v>
      </c>
      <c r="D41" s="15" t="str">
        <f>IF(ISERROR(VLOOKUP($C41,'START LİSTE'!$B$6:$F$836,2,0)),"",VLOOKUP($C41,'START LİSTE'!$B$6:$F$836,2,0))</f>
        <v>HAKAN KÖSTEKÇİ</v>
      </c>
      <c r="E41" s="16" t="str">
        <f>IF(ISERROR(VLOOKUP($C41,'START LİSTE'!$B$6:$F$836,4,0)),"",VLOOKUP($C41,'START LİSTE'!$B$6:$F$836,4,0))</f>
        <v>T</v>
      </c>
      <c r="F41" s="106" t="str">
        <f>IF(ISERROR(VLOOKUP($C41,'FERDİ SONUÇ'!$B$6:$H$962,6,0)),"",VLOOKUP($C41,'FERDİ SONUÇ'!$B$6:$H$962,6,0))</f>
        <v>DNS</v>
      </c>
      <c r="G41" s="18" t="str">
        <f>IF(OR(E41="",F41="DQ",F41="DNF",F41="DNS",F41=""),"-",VLOOKUP(C41,'FERDİ SONUÇ'!$B$6:$H$962,7,0))</f>
        <v>-</v>
      </c>
      <c r="H41" s="146"/>
    </row>
    <row r="42" spans="1:8" ht="14.25" customHeight="1">
      <c r="A42" s="6"/>
      <c r="B42" s="7"/>
      <c r="C42" s="95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5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5"/>
    </row>
    <row r="43" spans="1:8" ht="14.25" customHeight="1">
      <c r="A43" s="13"/>
      <c r="B43" s="14"/>
      <c r="C43" s="96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6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6"/>
    </row>
    <row r="44" spans="1:8" ht="14.25" customHeight="1">
      <c r="A44" s="59">
        <f>IF(ISERROR(SMALL('TAKIM KAYIT'!$B$6:$B$125,10)),"",SMALL('TAKIM KAYIT'!$B$6:$B$125,10))</f>
      </c>
      <c r="B44" s="14">
        <f>IF(A44="","",VLOOKUP(A44,'TAKIM KAYIT'!$B$6:$O$125,2,FALSE))</f>
      </c>
      <c r="C44" s="96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6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</c>
    </row>
    <row r="45" spans="1:8" ht="14.25" customHeight="1">
      <c r="A45" s="13"/>
      <c r="B45" s="14"/>
      <c r="C45" s="96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6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6"/>
    </row>
    <row r="46" spans="1:8" ht="14.25" customHeight="1">
      <c r="A46" s="6"/>
      <c r="B46" s="7"/>
      <c r="C46" s="95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5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5"/>
    </row>
    <row r="47" spans="1:8" ht="14.25" customHeight="1">
      <c r="A47" s="13"/>
      <c r="B47" s="14"/>
      <c r="C47" s="96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6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6"/>
    </row>
    <row r="48" spans="1:8" ht="14.25" customHeight="1">
      <c r="A48" s="59">
        <f>IF(ISERROR(SMALL('TAKIM KAYIT'!$B$6:$B$125,11)),"",SMALL('TAKIM KAYIT'!$B$6:$B$125,11))</f>
      </c>
      <c r="B48" s="14">
        <f>IF(A48="","",VLOOKUP(A48,'TAKIM KAYIT'!$B$6:$O$125,2,FALSE))</f>
      </c>
      <c r="C48" s="96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6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</c>
    </row>
    <row r="49" spans="1:8" ht="14.25" customHeight="1">
      <c r="A49" s="13"/>
      <c r="B49" s="14"/>
      <c r="C49" s="96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6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6"/>
    </row>
    <row r="50" spans="1:8" ht="14.25" customHeight="1">
      <c r="A50" s="6"/>
      <c r="B50" s="7"/>
      <c r="C50" s="95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5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5"/>
    </row>
    <row r="51" spans="1:8" ht="14.25" customHeight="1">
      <c r="A51" s="13"/>
      <c r="B51" s="14"/>
      <c r="C51" s="96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6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6"/>
    </row>
    <row r="52" spans="1:8" ht="14.25" customHeight="1">
      <c r="A52" s="59">
        <f>IF(ISERROR(SMALL('TAKIM KAYIT'!$B$6:$B$125,12)),"",SMALL('TAKIM KAYIT'!$B$6:$B$125,12))</f>
      </c>
      <c r="B52" s="14">
        <f>IF(A52="","",VLOOKUP(A52,'TAKIM KAYIT'!$B$6:$O$125,2,FALSE))</f>
      </c>
      <c r="C52" s="96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6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</c>
    </row>
    <row r="53" spans="1:8" ht="14.25" customHeight="1">
      <c r="A53" s="13"/>
      <c r="B53" s="14"/>
      <c r="C53" s="96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6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6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5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6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6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5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6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6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5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6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6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1" t="str">
        <f>KAPAK!A2</f>
        <v>Ankara Atletizm İl Temsilciliği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4.25">
      <c r="A3" s="86"/>
      <c r="B3" s="86"/>
      <c r="C3" s="192"/>
      <c r="D3" s="192"/>
      <c r="E3" s="86"/>
      <c r="F3" s="87"/>
      <c r="G3" s="86"/>
      <c r="H3" s="86"/>
      <c r="I3" s="86"/>
      <c r="J3" s="86"/>
      <c r="K3" s="86"/>
    </row>
    <row r="4" spans="1:11" ht="12.75">
      <c r="A4" s="195" t="str">
        <f>KAPAK!B26</f>
        <v>Yıldız Erkekler</v>
      </c>
      <c r="B4" s="195"/>
      <c r="C4" s="193" t="str">
        <f>KAPAK!B25</f>
        <v>2.5 km.</v>
      </c>
      <c r="D4" s="193"/>
      <c r="E4" s="88"/>
      <c r="F4" s="194">
        <f>KAPAK!B28</f>
        <v>41938.458333333336</v>
      </c>
      <c r="G4" s="194"/>
      <c r="H4" s="194"/>
      <c r="I4" s="194"/>
      <c r="J4" s="194"/>
      <c r="K4" s="194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f>IF(A8="","",INDEX('TAKIM KAYIT'!$D$6:$D$125,MATCH(C8,'TAKIM KAYIT'!$D$6:$D$125,0)-2))</f>
        <v>450</v>
      </c>
      <c r="D6" s="122" t="str">
        <f>IF(ISERROR(VLOOKUP($C6,'START LİSTE'!$B$6:$F$1025,2,0)),"",VLOOKUP($C6,'START LİSTE'!$B$6:$F$1025,2,0))</f>
        <v>BEKİR KABADAYI </v>
      </c>
      <c r="E6" s="123" t="str">
        <f>IF(ISERROR(VLOOKUP($C6,'START LİSTE'!$B$6:$F$1025,4,0)),"",VLOOKUP($C6,'START LİSTE'!$B$6:$F$1025,4,0))</f>
        <v>T</v>
      </c>
      <c r="F6" s="124">
        <f>IF(ISERROR(VLOOKUP($C6,'FERDİ SONUÇ'!$B$6:$H$1069,6,0)),"",VLOOKUP($C6,'FERDİ SONUÇ'!$B$6:$H$1069,6,0))</f>
        <v>746</v>
      </c>
      <c r="G6" s="125">
        <f>IF(OR(E6="",F6="DQ",F6="DNF",F6="DNS",F6=""),"-",VLOOKUP(C6,'FERDİ SONUÇ'!$B$6:$H$1069,7,0))</f>
        <v>1</v>
      </c>
      <c r="H6" s="149"/>
      <c r="I6" s="149"/>
      <c r="J6" s="149"/>
      <c r="K6" s="145"/>
    </row>
    <row r="7" spans="1:11" ht="14.25">
      <c r="A7" s="126"/>
      <c r="B7" s="127"/>
      <c r="C7" s="128">
        <f>IF(A8="","",INDEX('TAKIM KAYIT'!$D$6:$D$125,MATCH(C8,'TAKIM KAYIT'!$D$6:$D$125,0)-1))</f>
        <v>451</v>
      </c>
      <c r="D7" s="129" t="str">
        <f>IF(ISERROR(VLOOKUP($C7,'START LİSTE'!$B$6:$F$1025,2,0)),"",VLOOKUP($C7,'START LİSTE'!$B$6:$F$1025,2,0))</f>
        <v>OĞUZHAN  FURKAN DEDE</v>
      </c>
      <c r="E7" s="130" t="str">
        <f>IF(ISERROR(VLOOKUP($C7,'START LİSTE'!$B$6:$F$1025,4,0)),"",VLOOKUP($C7,'START LİSTE'!$B$6:$F$1025,4,0))</f>
        <v>T</v>
      </c>
      <c r="F7" s="131">
        <f>IF(ISERROR(VLOOKUP($C7,'FERDİ SONUÇ'!$B$6:$H$1069,6,0)),"",VLOOKUP($C7,'FERDİ SONUÇ'!$B$6:$H$1069,6,0))</f>
        <v>754</v>
      </c>
      <c r="G7" s="132">
        <f>IF(OR(E7="",F7="DQ",F7="DNF",F7="DNS",F7=""),"-",VLOOKUP(C7,'FERDİ SONUÇ'!$B$6:$H$1069,7,0))</f>
        <v>2</v>
      </c>
      <c r="H7" s="150"/>
      <c r="I7" s="150"/>
      <c r="J7" s="150"/>
      <c r="K7" s="146"/>
    </row>
    <row r="8" spans="1:11" ht="15.75">
      <c r="A8" s="126">
        <f>IF(ISERROR(SMALL('TAKIM KAYIT'!$A$6:$A$125,1)),"",SMALL('TAKIM KAYIT'!$A$6:$A$125,1))</f>
        <v>1</v>
      </c>
      <c r="B8" s="127" t="str">
        <f>IF(A8="","",VLOOKUP(A8,'TAKIM KAYIT'!$A$6:$O$1250,3,0))</f>
        <v>ANKARA-BB ANKARASPOR</v>
      </c>
      <c r="C8" s="128">
        <f>IF(A8="","",VLOOKUP(A8,'TAKIM KAYIT'!$B$6:$O$125,3,FALSE))</f>
        <v>452</v>
      </c>
      <c r="D8" s="129" t="str">
        <f>IF(ISERROR(VLOOKUP($C8,'START LİSTE'!$B$6:$F$1025,2,0)),"",VLOOKUP($C8,'START LİSTE'!$B$6:$F$1025,2,0))</f>
        <v>ÖZCAN ÇİFTÇİ</v>
      </c>
      <c r="E8" s="130" t="str">
        <f>IF(ISERROR(VLOOKUP($C8,'START LİSTE'!$B$6:$F$1025,4,0)),"",VLOOKUP($C8,'START LİSTE'!$B$6:$F$1025,4,0))</f>
        <v>T</v>
      </c>
      <c r="F8" s="131">
        <f>IF(ISERROR(VLOOKUP($C8,'FERDİ SONUÇ'!$B$6:$H$1069,6,0)),"",VLOOKUP($C8,'FERDİ SONUÇ'!$B$6:$H$1069,6,0))</f>
        <v>806</v>
      </c>
      <c r="G8" s="132">
        <f>IF(OR(E8="",F8="DQ",F8="DNF",F8="DNS",F8=""),"-",VLOOKUP(C8,'FERDİ SONUÇ'!$B$6:$H$1069,7,0))</f>
        <v>5</v>
      </c>
      <c r="H8" s="141">
        <f>IF(A8="","",VLOOKUP(A8,'TAKIM KAYIT'!$A$6:$T$1250,11,0))</f>
        <v>7</v>
      </c>
      <c r="I8" s="141">
        <f>IF(A8="","",VLOOKUP(A8,'TAKIM KAYIT'!$A$6:$T$1250,12,0))</f>
        <v>6.0003</v>
      </c>
      <c r="J8" s="110">
        <f>IF(A8="","",VLOOKUP(A8,'TAKIM KAYIT'!$A$6:$T$1250,13,0))</f>
        <v>0</v>
      </c>
      <c r="K8" s="141">
        <f>IF(A8="","",VLOOKUP(A8,'TAKIM KAYIT'!$A$6:$T$1250,15,0))</f>
        <v>13.0003</v>
      </c>
    </row>
    <row r="9" spans="1:11" ht="14.25">
      <c r="A9" s="126"/>
      <c r="B9" s="127"/>
      <c r="C9" s="128">
        <f>IF(A8="","",INDEX('TAKIM KAYIT'!$D$6:$D$125,MATCH(C8,'TAKIM KAYIT'!$D$6:$D$125,0)+1))</f>
        <v>453</v>
      </c>
      <c r="D9" s="129" t="str">
        <f>IF(ISERROR(VLOOKUP($C9,'START LİSTE'!$B$6:$F$1025,2,0)),"",VLOOKUP($C9,'START LİSTE'!$B$6:$F$1025,2,0))</f>
        <v>OĞUZHAN TAŞDEMİR</v>
      </c>
      <c r="E9" s="130" t="str">
        <f>IF(ISERROR(VLOOKUP($C9,'START LİSTE'!$B$6:$F$1025,4,0)),"",VLOOKUP($C9,'START LİSTE'!$B$6:$F$1025,4,0))</f>
        <v>T</v>
      </c>
      <c r="F9" s="131">
        <f>IF(ISERROR(VLOOKUP($C9,'FERDİ SONUÇ'!$B$6:$H$1069,6,0)),"",VLOOKUP($C9,'FERDİ SONUÇ'!$B$6:$H$1069,6,0))</f>
        <v>757</v>
      </c>
      <c r="G9" s="132">
        <f>IF(OR(E9="",F9="DQ",F9="DNF",F9="DNS",F9=""),"-",VLOOKUP(C9,'FERDİ SONUÇ'!$B$6:$H$1069,7,0))</f>
        <v>3</v>
      </c>
      <c r="H9" s="150"/>
      <c r="I9" s="150"/>
      <c r="J9" s="150"/>
      <c r="K9" s="146"/>
    </row>
    <row r="10" spans="1:11" ht="14.25">
      <c r="A10" s="119"/>
      <c r="B10" s="120"/>
      <c r="C10" s="121">
        <f>IF(A12="","",INDEX('TAKIM KAYIT'!$D$6:$D$125,MATCH(C12,'TAKIM KAYIT'!$D$6:$D$125,0)-2))</f>
        <v>430</v>
      </c>
      <c r="D10" s="122" t="str">
        <f>IF(ISERROR(VLOOKUP($C10,'START LİSTE'!$B$6:$F$1025,2,0)),"",VLOOKUP($C10,'START LİSTE'!$B$6:$F$1025,2,0))</f>
        <v>HÜSEYİN  BOZKUŞ</v>
      </c>
      <c r="E10" s="123" t="str">
        <f>IF(ISERROR(VLOOKUP($C10,'START LİSTE'!$B$6:$F$1025,4,0)),"",VLOOKUP($C10,'START LİSTE'!$B$6:$F$1025,4,0))</f>
        <v>T</v>
      </c>
      <c r="F10" s="124">
        <f>IF(ISERROR(VLOOKUP($C10,'FERDİ SONUÇ'!$B$6:$H$1069,6,0)),"",VLOOKUP($C10,'FERDİ SONUÇ'!$B$6:$H$1069,6,0))</f>
        <v>803</v>
      </c>
      <c r="G10" s="125">
        <f>IF(OR(E10="",F10="DQ",F10="DNF",F10="DNS",F10=""),"-",VLOOKUP(C10,'FERDİ SONUÇ'!$B$6:$H$1069,7,0))</f>
        <v>4</v>
      </c>
      <c r="H10" s="149"/>
      <c r="I10" s="149"/>
      <c r="J10" s="149"/>
      <c r="K10" s="145"/>
    </row>
    <row r="11" spans="1:11" ht="14.25">
      <c r="A11" s="126"/>
      <c r="B11" s="127"/>
      <c r="C11" s="128">
        <f>IF(A12="","",INDEX('TAKIM KAYIT'!$D$6:$D$125,MATCH(C12,'TAKIM KAYIT'!$D$6:$D$125,0)-1))</f>
        <v>431</v>
      </c>
      <c r="D11" s="129" t="str">
        <f>IF(ISERROR(VLOOKUP($C11,'START LİSTE'!$B$6:$F$1025,2,0)),"",VLOOKUP($C11,'START LİSTE'!$B$6:$F$1025,2,0))</f>
        <v>YUNUS  ÖLGER</v>
      </c>
      <c r="E11" s="130" t="str">
        <f>IF(ISERROR(VLOOKUP($C11,'START LİSTE'!$B$6:$F$1025,4,0)),"",VLOOKUP($C11,'START LİSTE'!$B$6:$F$1025,4,0))</f>
        <v>T</v>
      </c>
      <c r="F11" s="131">
        <f>IF(ISERROR(VLOOKUP($C11,'FERDİ SONUÇ'!$B$6:$H$1069,6,0)),"",VLOOKUP($C11,'FERDİ SONUÇ'!$B$6:$H$1069,6,0))</f>
        <v>830</v>
      </c>
      <c r="G11" s="132">
        <f>IF(OR(E11="",F11="DQ",F11="DNF",F11="DNS",F11=""),"-",VLOOKUP(C11,'FERDİ SONUÇ'!$B$6:$H$1069,7,0))</f>
        <v>7</v>
      </c>
      <c r="H11" s="150"/>
      <c r="I11" s="150"/>
      <c r="J11" s="150"/>
      <c r="K11" s="146"/>
    </row>
    <row r="12" spans="1:11" ht="15.75">
      <c r="A12" s="61">
        <f>IF(ISERROR(SMALL('TAKIM KAYIT'!$A$6:$A$125,1)),"",SMALL('TAKIM KAYIT'!$A$6:$A$125,2))</f>
        <v>2</v>
      </c>
      <c r="B12" s="127" t="str">
        <f>IF(A12="","",VLOOKUP(A12,'TAKIM KAYIT'!$A$6:$O$1250,3,0))</f>
        <v>KONYA EREĞLİ ŞEKER SPOR</v>
      </c>
      <c r="C12" s="128">
        <f>IF(A12="","",VLOOKUP(A12,'TAKIM KAYIT'!$B$6:$O$125,3,FALSE))</f>
        <v>432</v>
      </c>
      <c r="D12" s="129" t="str">
        <f>IF(ISERROR(VLOOKUP($C12,'START LİSTE'!$B$6:$F$1025,2,0)),"",VLOOKUP($C12,'START LİSTE'!$B$6:$F$1025,2,0))</f>
        <v>NECATİ BİNGÖL</v>
      </c>
      <c r="E12" s="130" t="str">
        <f>IF(ISERROR(VLOOKUP($C12,'START LİSTE'!$B$6:$F$1025,4,0)),"",VLOOKUP($C12,'START LİSTE'!$B$6:$F$1025,4,0))</f>
        <v>T</v>
      </c>
      <c r="F12" s="131">
        <f>IF(ISERROR(VLOOKUP($C12,'FERDİ SONUÇ'!$B$6:$H$1069,6,0)),"",VLOOKUP($C12,'FERDİ SONUÇ'!$B$6:$H$1069,6,0))</f>
        <v>843</v>
      </c>
      <c r="G12" s="132">
        <f>IF(OR(E12="",F12="DQ",F12="DNF",F12="DNS",F12=""),"-",VLOOKUP(C12,'FERDİ SONUÇ'!$B$6:$H$1069,7,0))</f>
        <v>9</v>
      </c>
      <c r="H12" s="141">
        <f>IF(A12="","",VLOOKUP(A12,'TAKIM KAYIT'!$A$6:$T$1250,11,0))</f>
        <v>18</v>
      </c>
      <c r="I12" s="141">
        <f>IF(A12="","",VLOOKUP(A12,'TAKIM KAYIT'!$A$6:$T$1250,12,0))</f>
        <v>20.0009</v>
      </c>
      <c r="J12" s="110">
        <f>IF(A12="","",VLOOKUP(A12,'TAKIM KAYIT'!$A$6:$T$1250,13,0))</f>
        <v>0</v>
      </c>
      <c r="K12" s="141">
        <f>IF(A12="","",VLOOKUP(A12,'TAKIM KAYIT'!$A$6:$T$1250,15,0))</f>
        <v>38.0009</v>
      </c>
    </row>
    <row r="13" spans="1:11" ht="14.25">
      <c r="A13" s="126"/>
      <c r="B13" s="127"/>
      <c r="C13" s="128">
        <f>IF(A12="","",INDEX('TAKIM KAYIT'!$D$6:$D$125,MATCH(C12,'TAKIM KAYIT'!$D$6:$D$125,0)+1))</f>
        <v>433</v>
      </c>
      <c r="D13" s="129" t="str">
        <f>IF(ISERROR(VLOOKUP($C13,'START LİSTE'!$B$6:$F$1025,2,0)),"",VLOOKUP($C13,'START LİSTE'!$B$6:$F$1025,2,0))</f>
        <v>M.CAN ADACIL</v>
      </c>
      <c r="E13" s="130" t="str">
        <f>IF(ISERROR(VLOOKUP($C13,'START LİSTE'!$B$6:$F$1025,4,0)),"",VLOOKUP($C13,'START LİSTE'!$B$6:$F$1025,4,0))</f>
        <v>T</v>
      </c>
      <c r="F13" s="131" t="str">
        <f>IF(ISERROR(VLOOKUP($C13,'FERDİ SONUÇ'!$B$6:$H$1069,6,0)),"",VLOOKUP($C13,'FERDİ SONUÇ'!$B$6:$H$1069,6,0))</f>
        <v>DNF</v>
      </c>
      <c r="G13" s="132" t="str">
        <f>IF(OR(E13="",F13="DQ",F13="DNF",F13="DNS",F13=""),"-",VLOOKUP(C13,'FERDİ SONUÇ'!$B$6:$H$1069,7,0))</f>
        <v>-</v>
      </c>
      <c r="H13" s="150"/>
      <c r="I13" s="150"/>
      <c r="J13" s="150"/>
      <c r="K13" s="146"/>
    </row>
    <row r="14" spans="1:11" ht="14.25">
      <c r="A14" s="119"/>
      <c r="B14" s="120"/>
      <c r="C14" s="121">
        <f>IF(A16="","",INDEX('TAKIM KAYIT'!$D$6:$D$125,MATCH(C16,'TAKIM KAYIT'!$D$6:$D$125,0)-2))</f>
        <v>446</v>
      </c>
      <c r="D14" s="122" t="str">
        <f>IF(ISERROR(VLOOKUP($C14,'START LİSTE'!$B$6:$F$1025,2,0)),"",VLOOKUP($C14,'START LİSTE'!$B$6:$F$1025,2,0))</f>
        <v>RAMAZAN ÇELİK</v>
      </c>
      <c r="E14" s="123" t="str">
        <f>IF(ISERROR(VLOOKUP($C14,'START LİSTE'!$B$6:$F$1025,4,0)),"",VLOOKUP($C14,'START LİSTE'!$B$6:$F$1025,4,0))</f>
        <v>T</v>
      </c>
      <c r="F14" s="124">
        <f>IF(ISERROR(VLOOKUP($C14,'FERDİ SONUÇ'!$B$6:$H$1069,6,0)),"",VLOOKUP($C14,'FERDİ SONUÇ'!$B$6:$H$1069,6,0))</f>
        <v>925</v>
      </c>
      <c r="G14" s="125">
        <f>IF(OR(E14="",F14="DQ",F14="DNF",F14="DNS",F14=""),"-",VLOOKUP(C14,'FERDİ SONUÇ'!$B$6:$H$1069,7,0))</f>
        <v>17</v>
      </c>
      <c r="H14" s="149"/>
      <c r="I14" s="149"/>
      <c r="J14" s="149"/>
      <c r="K14" s="145"/>
    </row>
    <row r="15" spans="1:11" ht="14.25">
      <c r="A15" s="126"/>
      <c r="B15" s="127"/>
      <c r="C15" s="128">
        <f>IF(A16="","",INDEX('TAKIM KAYIT'!$D$6:$D$125,MATCH(C16,'TAKIM KAYIT'!$D$6:$D$125,0)-1))</f>
        <v>447</v>
      </c>
      <c r="D15" s="129" t="str">
        <f>IF(ISERROR(VLOOKUP($C15,'START LİSTE'!$B$6:$F$1025,2,0)),"",VLOOKUP($C15,'START LİSTE'!$B$6:$F$1025,2,0))</f>
        <v>FATİH SABAN</v>
      </c>
      <c r="E15" s="130" t="str">
        <f>IF(ISERROR(VLOOKUP($C15,'START LİSTE'!$B$6:$F$1025,4,0)),"",VLOOKUP($C15,'START LİSTE'!$B$6:$F$1025,4,0))</f>
        <v>T</v>
      </c>
      <c r="F15" s="131">
        <f>IF(ISERROR(VLOOKUP($C15,'FERDİ SONUÇ'!$B$6:$H$1069,6,0)),"",VLOOKUP($C15,'FERDİ SONUÇ'!$B$6:$H$1069,6,0))</f>
        <v>844</v>
      </c>
      <c r="G15" s="132">
        <f>IF(OR(E15="",F15="DQ",F15="DNF",F15="DNS",F15=""),"-",VLOOKUP(C15,'FERDİ SONUÇ'!$B$6:$H$1069,7,0))</f>
        <v>10</v>
      </c>
      <c r="H15" s="150"/>
      <c r="I15" s="150"/>
      <c r="J15" s="150"/>
      <c r="K15" s="146"/>
    </row>
    <row r="16" spans="1:11" ht="15.75">
      <c r="A16" s="126">
        <f>IF(ISERROR(SMALL('TAKIM KAYIT'!$A$6:$A$125,1)),"",SMALL('TAKIM KAYIT'!$A$6:$A$125,3))</f>
        <v>3</v>
      </c>
      <c r="B16" s="127" t="str">
        <f>IF(A16="","",VLOOKUP(A16,'TAKIM KAYIT'!$A$6:$O$1250,3,0))</f>
        <v>NEVŞEHİR 100.YIL ÜLFET BAŞER İO SP. KLB.</v>
      </c>
      <c r="C16" s="128">
        <f>IF(A16="","",VLOOKUP(A16,'TAKIM KAYIT'!$B$6:$O$125,3,FALSE))</f>
        <v>448</v>
      </c>
      <c r="D16" s="129" t="str">
        <f>IF(ISERROR(VLOOKUP($C16,'START LİSTE'!$B$6:$F$1025,2,0)),"",VLOOKUP($C16,'START LİSTE'!$B$6:$F$1025,2,0))</f>
        <v>FURKAN AÇIKGÖZ</v>
      </c>
      <c r="E16" s="130" t="str">
        <f>IF(ISERROR(VLOOKUP($C16,'START LİSTE'!$B$6:$F$1025,4,0)),"",VLOOKUP($C16,'START LİSTE'!$B$6:$F$1025,4,0))</f>
        <v>T</v>
      </c>
      <c r="F16" s="131">
        <f>IF(ISERROR(VLOOKUP($C16,'FERDİ SONUÇ'!$B$6:$H$1069,6,0)),"",VLOOKUP($C16,'FERDİ SONUÇ'!$B$6:$H$1069,6,0))</f>
        <v>849</v>
      </c>
      <c r="G16" s="132">
        <f>IF(OR(E16="",F16="DQ",F16="DNF",F16="DNS",F16=""),"-",VLOOKUP(C16,'FERDİ SONUÇ'!$B$6:$H$1069,7,0))</f>
        <v>13</v>
      </c>
      <c r="H16" s="141">
        <f>IF(A16="","",VLOOKUP(A16,'TAKIM KAYIT'!$A$6:$T$1250,11,0))</f>
        <v>32</v>
      </c>
      <c r="I16" s="141">
        <f>IF(A16="","",VLOOKUP(A16,'TAKIM KAYIT'!$A$6:$T$1250,12,0))</f>
        <v>38.0015</v>
      </c>
      <c r="J16" s="110">
        <f>IF(A16="","",VLOOKUP(A16,'TAKIM KAYIT'!$A$6:$T$1250,13,0))</f>
        <v>0</v>
      </c>
      <c r="K16" s="141">
        <f>IF(A16="","",VLOOKUP(A16,'TAKIM KAYIT'!$A$6:$T$1250,15,0))</f>
        <v>70.0015</v>
      </c>
    </row>
    <row r="17" spans="1:11" ht="14.25">
      <c r="A17" s="126"/>
      <c r="B17" s="127"/>
      <c r="C17" s="128">
        <f>IF(A16="","",INDEX('TAKIM KAYIT'!$D$6:$D$125,MATCH(C16,'TAKIM KAYIT'!$D$6:$D$125,0)+1))</f>
        <v>449</v>
      </c>
      <c r="D17" s="129" t="str">
        <f>IF(ISERROR(VLOOKUP($C17,'START LİSTE'!$B$6:$F$1025,2,0)),"",VLOOKUP($C17,'START LİSTE'!$B$6:$F$1025,2,0))</f>
        <v>MUSTAFA SOYLU</v>
      </c>
      <c r="E17" s="130" t="str">
        <f>IF(ISERROR(VLOOKUP($C17,'START LİSTE'!$B$6:$F$1025,4,0)),"",VLOOKUP($C17,'START LİSTE'!$B$6:$F$1025,4,0))</f>
        <v>T</v>
      </c>
      <c r="F17" s="131">
        <f>IF(ISERROR(VLOOKUP($C17,'FERDİ SONUÇ'!$B$6:$H$1069,6,0)),"",VLOOKUP($C17,'FERDİ SONUÇ'!$B$6:$H$1069,6,0))</f>
        <v>908</v>
      </c>
      <c r="G17" s="132">
        <f>IF(OR(E17="",F17="DQ",F17="DNF",F17="DNS",F17=""),"-",VLOOKUP(C17,'FERDİ SONUÇ'!$B$6:$H$1069,7,0))</f>
        <v>15</v>
      </c>
      <c r="H17" s="150"/>
      <c r="I17" s="150"/>
      <c r="J17" s="150"/>
      <c r="K17" s="146"/>
    </row>
    <row r="18" spans="1:11" ht="14.25">
      <c r="A18" s="119"/>
      <c r="B18" s="120"/>
      <c r="C18" s="121">
        <f>IF(A20="","",INDEX('TAKIM KAYIT'!$D$6:$D$125,MATCH(C20,'TAKIM KAYIT'!$D$6:$D$125,0)-2))</f>
        <v>458</v>
      </c>
      <c r="D18" s="122" t="str">
        <f>IF(ISERROR(VLOOKUP($C18,'START LİSTE'!$B$6:$F$1025,2,0)),"",VLOOKUP($C18,'START LİSTE'!$B$6:$F$1025,2,0))</f>
        <v>AHAT KARATAŞ</v>
      </c>
      <c r="E18" s="123" t="str">
        <f>IF(ISERROR(VLOOKUP($C18,'START LİSTE'!$B$6:$F$1025,4,0)),"",VLOOKUP($C18,'START LİSTE'!$B$6:$F$1025,4,0))</f>
        <v>T</v>
      </c>
      <c r="F18" s="124">
        <f>IF(ISERROR(VLOOKUP($C18,'FERDİ SONUÇ'!$B$6:$H$1069,6,0)),"",VLOOKUP($C18,'FERDİ SONUÇ'!$B$6:$H$1069,6,0))</f>
        <v>1003</v>
      </c>
      <c r="G18" s="125">
        <f>IF(OR(E18="",F18="DQ",F18="DNF",F18="DNS",F18=""),"-",VLOOKUP(C18,'FERDİ SONUÇ'!$B$6:$H$1069,7,0))</f>
        <v>20</v>
      </c>
      <c r="H18" s="149"/>
      <c r="I18" s="149"/>
      <c r="J18" s="149"/>
      <c r="K18" s="145"/>
    </row>
    <row r="19" spans="1:11" ht="14.25">
      <c r="A19" s="126"/>
      <c r="B19" s="127"/>
      <c r="C19" s="128">
        <f>IF(A20="","",INDEX('TAKIM KAYIT'!$D$6:$D$125,MATCH(C20,'TAKIM KAYIT'!$D$6:$D$125,0)-1))</f>
        <v>459</v>
      </c>
      <c r="D19" s="129" t="str">
        <f>IF(ISERROR(VLOOKUP($C19,'START LİSTE'!$B$6:$F$1025,2,0)),"",VLOOKUP($C19,'START LİSTE'!$B$6:$F$1025,2,0))</f>
        <v>EMRE DOĞAN</v>
      </c>
      <c r="E19" s="130" t="str">
        <f>IF(ISERROR(VLOOKUP($C19,'START LİSTE'!$B$6:$F$1025,4,0)),"",VLOOKUP($C19,'START LİSTE'!$B$6:$F$1025,4,0))</f>
        <v>T</v>
      </c>
      <c r="F19" s="131">
        <f>IF(ISERROR(VLOOKUP($C19,'FERDİ SONUÇ'!$B$6:$H$1069,6,0)),"",VLOOKUP($C19,'FERDİ SONUÇ'!$B$6:$H$1069,6,0))</f>
        <v>848</v>
      </c>
      <c r="G19" s="132">
        <f>IF(OR(E19="",F19="DQ",F19="DNF",F19="DNS",F19=""),"-",VLOOKUP(C19,'FERDİ SONUÇ'!$B$6:$H$1069,7,0))</f>
        <v>12</v>
      </c>
      <c r="H19" s="150"/>
      <c r="I19" s="150"/>
      <c r="J19" s="150"/>
      <c r="K19" s="146"/>
    </row>
    <row r="20" spans="1:11" ht="15.75">
      <c r="A20" s="126">
        <f>IF(ISERROR(SMALL('TAKIM KAYIT'!$A$6:$A$125,1)),"",SMALL('TAKIM KAYIT'!$A$6:$A$125,4))</f>
        <v>4</v>
      </c>
      <c r="B20" s="127" t="str">
        <f>IF(A20="","",VLOOKUP(A20,'TAKIM KAYIT'!$A$6:$O$1250,3,0))</f>
        <v>SPORCU EĞİTİM MERKEZİGENÇLİK VE SPOR KÜLÜBÜ</v>
      </c>
      <c r="C20" s="128">
        <f>IF(A20="","",VLOOKUP(A20,'TAKIM KAYIT'!$B$6:$O$125,3,FALSE))</f>
        <v>460</v>
      </c>
      <c r="D20" s="129" t="str">
        <f>IF(ISERROR(VLOOKUP($C20,'START LİSTE'!$B$6:$F$1025,2,0)),"",VLOOKUP($C20,'START LİSTE'!$B$6:$F$1025,2,0))</f>
        <v>UMUT BİNİCİ</v>
      </c>
      <c r="E20" s="130" t="str">
        <f>IF(ISERROR(VLOOKUP($C20,'START LİSTE'!$B$6:$F$1025,4,0)),"",VLOOKUP($C20,'START LİSTE'!$B$6:$F$1025,4,0))</f>
        <v>T</v>
      </c>
      <c r="F20" s="131">
        <f>IF(ISERROR(VLOOKUP($C20,'FERDİ SONUÇ'!$B$6:$H$1069,6,0)),"",VLOOKUP($C20,'FERDİ SONUÇ'!$B$6:$H$1069,6,0))</f>
        <v>859</v>
      </c>
      <c r="G20" s="132">
        <f>IF(OR(E20="",F20="DQ",F20="DNF",F20="DNS",F20=""),"-",VLOOKUP(C20,'FERDİ SONUÇ'!$B$6:$H$1069,7,0))</f>
        <v>14</v>
      </c>
      <c r="H20" s="141">
        <f>IF(A20="","",VLOOKUP(A20,'TAKIM KAYIT'!$A$6:$T$1250,11,0))</f>
        <v>52</v>
      </c>
      <c r="I20" s="141">
        <f>IF(A20="","",VLOOKUP(A20,'TAKIM KAYIT'!$A$6:$T$1250,12,0))</f>
        <v>46.002</v>
      </c>
      <c r="J20" s="110">
        <f>IF(A20="","",VLOOKUP(A20,'TAKIM KAYIT'!$A$6:$T$1250,13,0))</f>
        <v>0</v>
      </c>
      <c r="K20" s="141">
        <f>IF(A20="","",VLOOKUP(A20,'TAKIM KAYIT'!$A$6:$T$1250,15,0))</f>
        <v>98.00200000000001</v>
      </c>
    </row>
    <row r="21" spans="1:11" ht="14.25">
      <c r="A21" s="126"/>
      <c r="B21" s="127"/>
      <c r="C21" s="128">
        <f>IF(A20="","",INDEX('TAKIM KAYIT'!$D$6:$D$125,MATCH(C20,'TAKIM KAYIT'!$D$6:$D$125,0)+1))</f>
        <v>461</v>
      </c>
      <c r="D21" s="129" t="str">
        <f>IF(ISERROR(VLOOKUP($C21,'START LİSTE'!$B$6:$F$1025,2,0)),"",VLOOKUP($C21,'START LİSTE'!$B$6:$F$1025,2,0))</f>
        <v>SEFA DUMAN</v>
      </c>
      <c r="E21" s="130" t="str">
        <f>IF(ISERROR(VLOOKUP($C21,'START LİSTE'!$B$6:$F$1025,4,0)),"",VLOOKUP($C21,'START LİSTE'!$B$6:$F$1025,4,0))</f>
        <v>T</v>
      </c>
      <c r="F21" s="131">
        <f>IF(ISERROR(VLOOKUP($C21,'FERDİ SONUÇ'!$B$6:$H$1069,6,0)),"",VLOOKUP($C21,'FERDİ SONUÇ'!$B$6:$H$1069,6,0))</f>
        <v>1147</v>
      </c>
      <c r="G21" s="132">
        <f>IF(OR(E21="",F21="DQ",F21="DNF",F21="DNS",F21=""),"-",VLOOKUP(C21,'FERDİ SONUÇ'!$B$6:$H$1069,7,0))</f>
        <v>28</v>
      </c>
      <c r="H21" s="150"/>
      <c r="I21" s="150"/>
      <c r="J21" s="150"/>
      <c r="K21" s="146"/>
    </row>
    <row r="22" spans="1:11" ht="14.25">
      <c r="A22" s="119"/>
      <c r="B22" s="120"/>
      <c r="C22" s="121">
        <f>IF(A24="","",INDEX('TAKIM KAYIT'!$D$6:$D$125,MATCH(C24,'TAKIM KAYIT'!$D$6:$D$125,0)-2))</f>
        <v>434</v>
      </c>
      <c r="D22" s="122" t="str">
        <f>IF(ISERROR(VLOOKUP($C22,'START LİSTE'!$B$6:$F$1025,2,0)),"",VLOOKUP($C22,'START LİSTE'!$B$6:$F$1025,2,0))</f>
        <v>BURAK YİĞİT</v>
      </c>
      <c r="E22" s="123" t="str">
        <f>IF(ISERROR(VLOOKUP($C22,'START LİSTE'!$B$6:$F$1025,4,0)),"",VLOOKUP($C22,'START LİSTE'!$B$6:$F$1025,4,0))</f>
        <v>T</v>
      </c>
      <c r="F22" s="124">
        <f>IF(ISERROR(VLOOKUP($C22,'FERDİ SONUÇ'!$B$6:$H$1069,6,0)),"",VLOOKUP($C22,'FERDİ SONUÇ'!$B$6:$H$1069,6,0))</f>
        <v>928</v>
      </c>
      <c r="G22" s="125">
        <f>IF(OR(E22="",F22="DQ",F22="DNF",F22="DNS",F22=""),"-",VLOOKUP(C22,'FERDİ SONUÇ'!$B$6:$H$1069,7,0))</f>
        <v>18</v>
      </c>
      <c r="H22" s="149"/>
      <c r="I22" s="149"/>
      <c r="J22" s="149"/>
      <c r="K22" s="145"/>
    </row>
    <row r="23" spans="1:11" ht="14.25">
      <c r="A23" s="126"/>
      <c r="B23" s="127"/>
      <c r="C23" s="128">
        <f>IF(A24="","",INDEX('TAKIM KAYIT'!$D$6:$D$125,MATCH(C24,'TAKIM KAYIT'!$D$6:$D$125,0)-1))</f>
        <v>435</v>
      </c>
      <c r="D23" s="129" t="str">
        <f>IF(ISERROR(VLOOKUP($C23,'START LİSTE'!$B$6:$F$1025,2,0)),"",VLOOKUP($C23,'START LİSTE'!$B$6:$F$1025,2,0))</f>
        <v>EYÜP TUMBUL</v>
      </c>
      <c r="E23" s="130" t="str">
        <f>IF(ISERROR(VLOOKUP($C23,'START LİSTE'!$B$6:$F$1025,4,0)),"",VLOOKUP($C23,'START LİSTE'!$B$6:$F$1025,4,0))</f>
        <v>T</v>
      </c>
      <c r="F23" s="131">
        <f>IF(ISERROR(VLOOKUP($C23,'FERDİ SONUÇ'!$B$6:$H$1069,6,0)),"",VLOOKUP($C23,'FERDİ SONUÇ'!$B$6:$H$1069,6,0))</f>
        <v>1140</v>
      </c>
      <c r="G23" s="132">
        <f>IF(OR(E23="",F23="DQ",F23="DNF",F23="DNS",F23=""),"-",VLOOKUP(C23,'FERDİ SONUÇ'!$B$6:$H$1069,7,0))</f>
        <v>27</v>
      </c>
      <c r="H23" s="150"/>
      <c r="I23" s="150"/>
      <c r="J23" s="150"/>
      <c r="K23" s="146"/>
    </row>
    <row r="24" spans="1:11" ht="15.75">
      <c r="A24" s="126">
        <f>IF(ISERROR(SMALL('TAKIM KAYIT'!$A$6:$A$125,1)),"",SMALL('TAKIM KAYIT'!$A$6:$A$125,5))</f>
        <v>5</v>
      </c>
      <c r="B24" s="127" t="str">
        <f>IF(A24="","",VLOOKUP(A24,'TAKIM KAYIT'!$A$6:$O$1250,3,0))</f>
        <v>SİVAS-EĞİTİM SPOR</v>
      </c>
      <c r="C24" s="128">
        <f>IF(A24="","",VLOOKUP(A24,'TAKIM KAYIT'!$B$6:$O$125,3,FALSE))</f>
        <v>436</v>
      </c>
      <c r="D24" s="129" t="str">
        <f>IF(ISERROR(VLOOKUP($C24,'START LİSTE'!$B$6:$F$1025,2,0)),"",VLOOKUP($C24,'START LİSTE'!$B$6:$F$1025,2,0))</f>
        <v>EMRE ÜNALAN</v>
      </c>
      <c r="E24" s="130" t="str">
        <f>IF(ISERROR(VLOOKUP($C24,'START LİSTE'!$B$6:$F$1025,4,0)),"",VLOOKUP($C24,'START LİSTE'!$B$6:$F$1025,4,0))</f>
        <v>T</v>
      </c>
      <c r="F24" s="131">
        <f>IF(ISERROR(VLOOKUP($C24,'FERDİ SONUÇ'!$B$6:$H$1069,6,0)),"",VLOOKUP($C24,'FERDİ SONUÇ'!$B$6:$H$1069,6,0))</f>
        <v>837</v>
      </c>
      <c r="G24" s="132">
        <f>IF(OR(E24="",F24="DQ",F24="DNF",F24="DNS",F24=""),"-",VLOOKUP(C24,'FERDİ SONUÇ'!$B$6:$H$1069,7,0))</f>
        <v>8</v>
      </c>
      <c r="H24" s="141">
        <f>IF(A24="","",VLOOKUP(A24,'TAKIM KAYIT'!$A$6:$T$1250,11,0))</f>
        <v>53</v>
      </c>
      <c r="I24" s="141">
        <f>IF(A24="","",VLOOKUP(A24,'TAKIM KAYIT'!$A$6:$T$1250,12,0))</f>
        <v>49.0023</v>
      </c>
      <c r="J24" s="110">
        <f>IF(A24="","",VLOOKUP(A24,'TAKIM KAYIT'!$A$6:$T$1250,13,0))</f>
        <v>0</v>
      </c>
      <c r="K24" s="141">
        <f>IF(A24="","",VLOOKUP(A24,'TAKIM KAYIT'!$A$6:$T$1250,15,0))</f>
        <v>102.00229999999999</v>
      </c>
    </row>
    <row r="25" spans="1:11" ht="14.25">
      <c r="A25" s="126"/>
      <c r="B25" s="127"/>
      <c r="C25" s="128">
        <f>IF(A24="","",INDEX('TAKIM KAYIT'!$D$6:$D$125,MATCH(C24,'TAKIM KAYIT'!$D$6:$D$125,0)+1))</f>
        <v>437</v>
      </c>
      <c r="D25" s="129" t="str">
        <f>IF(ISERROR(VLOOKUP($C25,'START LİSTE'!$B$6:$F$1025,2,0)),"",VLOOKUP($C25,'START LİSTE'!$B$6:$F$1025,2,0))</f>
        <v>SERKAN KOÇAN</v>
      </c>
      <c r="E25" s="130" t="str">
        <f>IF(ISERROR(VLOOKUP($C25,'START LİSTE'!$B$6:$F$1025,4,0)),"",VLOOKUP($C25,'START LİSTE'!$B$6:$F$1025,4,0))</f>
        <v>T</v>
      </c>
      <c r="F25" s="131">
        <f>IF(ISERROR(VLOOKUP($C25,'FERDİ SONUÇ'!$B$6:$H$1069,6,0)),"",VLOOKUP($C25,'FERDİ SONUÇ'!$B$6:$H$1069,6,0))</f>
        <v>1020</v>
      </c>
      <c r="G25" s="132">
        <f>IF(OR(E25="",F25="DQ",F25="DNF",F25="DNS",F25=""),"-",VLOOKUP(C25,'FERDİ SONUÇ'!$B$6:$H$1069,7,0))</f>
        <v>23</v>
      </c>
      <c r="H25" s="150"/>
      <c r="I25" s="150"/>
      <c r="J25" s="150"/>
      <c r="K25" s="146"/>
    </row>
    <row r="26" spans="1:11" ht="14.25">
      <c r="A26" s="119"/>
      <c r="B26" s="120"/>
      <c r="C26" s="121">
        <f>IF(A28="","",INDEX('TAKIM KAYIT'!$D$6:$D$125,MATCH(C28,'TAKIM KAYIT'!$D$6:$D$125,0)-2))</f>
        <v>442</v>
      </c>
      <c r="D26" s="122" t="str">
        <f>IF(ISERROR(VLOOKUP($C26,'START LİSTE'!$B$6:$F$1025,2,0)),"",VLOOKUP($C26,'START LİSTE'!$B$6:$F$1025,2,0))</f>
        <v>FEVZİ ERSAN</v>
      </c>
      <c r="E26" s="123" t="str">
        <f>IF(ISERROR(VLOOKUP($C26,'START LİSTE'!$B$6:$F$1025,4,0)),"",VLOOKUP($C26,'START LİSTE'!$B$6:$F$1025,4,0))</f>
        <v>T</v>
      </c>
      <c r="F26" s="124">
        <f>IF(ISERROR(VLOOKUP($C26,'FERDİ SONUÇ'!$B$6:$H$1069,6,0)),"",VLOOKUP($C26,'FERDİ SONUÇ'!$B$6:$H$1069,6,0))</f>
        <v>1209</v>
      </c>
      <c r="G26" s="125">
        <f>IF(OR(E26="",F26="DQ",F26="DNF",F26="DNS",F26=""),"-",VLOOKUP(C26,'FERDİ SONUÇ'!$B$6:$H$1069,7,0))</f>
        <v>29</v>
      </c>
      <c r="H26" s="149"/>
      <c r="I26" s="149"/>
      <c r="J26" s="149"/>
      <c r="K26" s="145"/>
    </row>
    <row r="27" spans="1:11" ht="14.25">
      <c r="A27" s="126"/>
      <c r="B27" s="127"/>
      <c r="C27" s="128">
        <f>IF(A28="","",INDEX('TAKIM KAYIT'!$D$6:$D$125,MATCH(C28,'TAKIM KAYIT'!$D$6:$D$125,0)-1))</f>
        <v>443</v>
      </c>
      <c r="D27" s="129" t="str">
        <f>IF(ISERROR(VLOOKUP($C27,'START LİSTE'!$B$6:$F$1025,2,0)),"",VLOOKUP($C27,'START LİSTE'!$B$6:$F$1025,2,0))</f>
        <v>DERVİŞ GÖRGEÇ</v>
      </c>
      <c r="E27" s="130" t="str">
        <f>IF(ISERROR(VLOOKUP($C27,'START LİSTE'!$B$6:$F$1025,4,0)),"",VLOOKUP($C27,'START LİSTE'!$B$6:$F$1025,4,0))</f>
        <v>T</v>
      </c>
      <c r="F27" s="131">
        <f>IF(ISERROR(VLOOKUP($C27,'FERDİ SONUÇ'!$B$6:$H$1069,6,0)),"",VLOOKUP($C27,'FERDİ SONUÇ'!$B$6:$H$1069,6,0))</f>
        <v>1050</v>
      </c>
      <c r="G27" s="132">
        <f>IF(OR(E27="",F27="DQ",F27="DNF",F27="DNS",F27=""),"-",VLOOKUP(C27,'FERDİ SONUÇ'!$B$6:$H$1069,7,0))</f>
        <v>24</v>
      </c>
      <c r="H27" s="150"/>
      <c r="I27" s="150"/>
      <c r="J27" s="150"/>
      <c r="K27" s="146"/>
    </row>
    <row r="28" spans="1:11" ht="15.75">
      <c r="A28" s="126">
        <f>IF(ISERROR(SMALL('TAKIM KAYIT'!$A$6:$A$125,1)),"",SMALL('TAKIM KAYIT'!$A$6:$A$125,6))</f>
        <v>6</v>
      </c>
      <c r="B28" s="127" t="str">
        <f>IF(A28="","",VLOOKUP(A28,'TAKIM KAYIT'!$A$6:$O$1250,3,0))</f>
        <v>ESKİŞEHİR BÜYÜKŞEHİR G.S.K</v>
      </c>
      <c r="C28" s="128">
        <f>IF(A28="","",VLOOKUP(A28,'TAKIM KAYIT'!$B$6:$O$125,3,FALSE))</f>
        <v>444</v>
      </c>
      <c r="D28" s="129" t="str">
        <f>IF(ISERROR(VLOOKUP($C28,'START LİSTE'!$B$6:$F$1025,2,0)),"",VLOOKUP($C28,'START LİSTE'!$B$6:$F$1025,2,0))</f>
        <v>HASAN ÇELİK</v>
      </c>
      <c r="E28" s="130" t="str">
        <f>IF(ISERROR(VLOOKUP($C28,'START LİSTE'!$B$6:$F$1025,4,0)),"",VLOOKUP($C28,'START LİSTE'!$B$6:$F$1025,4,0))</f>
        <v>T</v>
      </c>
      <c r="F28" s="131">
        <f>IF(ISERROR(VLOOKUP($C28,'FERDİ SONUÇ'!$B$6:$H$1069,6,0)),"",VLOOKUP($C28,'FERDİ SONUÇ'!$B$6:$H$1069,6,0))</f>
        <v>845</v>
      </c>
      <c r="G28" s="132">
        <f>IF(OR(E28="",F28="DQ",F28="DNF",F28="DNS",F28=""),"-",VLOOKUP(C28,'FERDİ SONUÇ'!$B$6:$H$1069,7,0))</f>
        <v>11</v>
      </c>
      <c r="H28" s="141">
        <f>IF(A28="","",VLOOKUP(A28,'TAKIM KAYIT'!$A$6:$T$1250,11,0))</f>
        <v>52</v>
      </c>
      <c r="I28" s="141">
        <f>IF(A28="","",VLOOKUP(A28,'TAKIM KAYIT'!$A$6:$T$1250,12,0))</f>
        <v>65.0025</v>
      </c>
      <c r="J28" s="110">
        <f>IF(A28="","",VLOOKUP(A28,'TAKIM KAYIT'!$A$6:$T$1250,13,0))</f>
        <v>0</v>
      </c>
      <c r="K28" s="141">
        <f>IF(A28="","",VLOOKUP(A28,'TAKIM KAYIT'!$A$6:$T$1250,15,0))</f>
        <v>117.0025</v>
      </c>
    </row>
    <row r="29" spans="1:11" ht="14.25">
      <c r="A29" s="126"/>
      <c r="B29" s="127"/>
      <c r="C29" s="128">
        <f>IF(A28="","",INDEX('TAKIM KAYIT'!$D$6:$D$125,MATCH(C28,'TAKIM KAYIT'!$D$6:$D$125,0)+1))</f>
        <v>445</v>
      </c>
      <c r="D29" s="129" t="str">
        <f>IF(ISERROR(VLOOKUP($C29,'START LİSTE'!$B$6:$F$1025,2,0)),"",VLOOKUP($C29,'START LİSTE'!$B$6:$F$1025,2,0))</f>
        <v>MAHİR DENİZ YİĞİT</v>
      </c>
      <c r="E29" s="130" t="str">
        <f>IF(ISERROR(VLOOKUP($C29,'START LİSTE'!$B$6:$F$1025,4,0)),"",VLOOKUP($C29,'START LİSTE'!$B$6:$F$1025,4,0))</f>
        <v>T</v>
      </c>
      <c r="F29" s="131">
        <f>IF(ISERROR(VLOOKUP($C29,'FERDİ SONUÇ'!$B$6:$H$1069,6,0)),"",VLOOKUP($C29,'FERDİ SONUÇ'!$B$6:$H$1069,6,0))</f>
        <v>10418</v>
      </c>
      <c r="G29" s="132">
        <f>IF(OR(E29="",F29="DQ",F29="DNF",F29="DNS",F29=""),"-",VLOOKUP(C29,'FERDİ SONUÇ'!$B$6:$H$1069,7,0))</f>
        <v>22</v>
      </c>
      <c r="H29" s="150"/>
      <c r="I29" s="150"/>
      <c r="J29" s="150"/>
      <c r="K29" s="146"/>
    </row>
    <row r="30" spans="1:11" ht="14.25">
      <c r="A30" s="119"/>
      <c r="B30" s="120"/>
      <c r="C30" s="121">
        <f>IF(A32="","",INDEX('TAKIM KAYIT'!$D$6:$D$125,MATCH(C32,'TAKIM KAYIT'!$D$6:$D$125,0)-2))</f>
        <v>462</v>
      </c>
      <c r="D30" s="122" t="str">
        <f>IF(ISERROR(VLOOKUP($C30,'START LİSTE'!$B$6:$F$1025,2,0)),"",VLOOKUP($C30,'START LİSTE'!$B$6:$F$1025,2,0))</f>
        <v>OĞUZHAN OLKUN</v>
      </c>
      <c r="E30" s="123" t="str">
        <f>IF(ISERROR(VLOOKUP($C30,'START LİSTE'!$B$6:$F$1025,4,0)),"",VLOOKUP($C30,'START LİSTE'!$B$6:$F$1025,4,0))</f>
        <v>T</v>
      </c>
      <c r="F30" s="124" t="str">
        <f>IF(ISERROR(VLOOKUP($C30,'FERDİ SONUÇ'!$B$6:$H$1069,6,0)),"",VLOOKUP($C30,'FERDİ SONUÇ'!$B$6:$H$1069,6,0))</f>
        <v>DNS</v>
      </c>
      <c r="G30" s="125" t="str">
        <f>IF(OR(E30="",F30="DQ",F30="DNF",F30="DNS",F30=""),"-",VLOOKUP(C30,'FERDİ SONUÇ'!$B$6:$H$1069,7,0))</f>
        <v>-</v>
      </c>
      <c r="H30" s="149"/>
      <c r="I30" s="149"/>
      <c r="J30" s="149"/>
      <c r="K30" s="145"/>
    </row>
    <row r="31" spans="1:11" ht="14.25">
      <c r="A31" s="126"/>
      <c r="B31" s="127"/>
      <c r="C31" s="128">
        <f>IF(A32="","",INDEX('TAKIM KAYIT'!$D$6:$D$125,MATCH(C32,'TAKIM KAYIT'!$D$6:$D$125,0)-1))</f>
        <v>463</v>
      </c>
      <c r="D31" s="129" t="str">
        <f>IF(ISERROR(VLOOKUP($C31,'START LİSTE'!$B$6:$F$1025,2,0)),"",VLOOKUP($C31,'START LİSTE'!$B$6:$F$1025,2,0))</f>
        <v>YUSUF PEKTAŞ</v>
      </c>
      <c r="E31" s="130" t="str">
        <f>IF(ISERROR(VLOOKUP($C31,'START LİSTE'!$B$6:$F$1025,4,0)),"",VLOOKUP($C31,'START LİSTE'!$B$6:$F$1025,4,0))</f>
        <v>T</v>
      </c>
      <c r="F31" s="131">
        <f>IF(ISERROR(VLOOKUP($C31,'FERDİ SONUÇ'!$B$6:$H$1069,6,0)),"",VLOOKUP($C31,'FERDİ SONUÇ'!$B$6:$H$1069,6,0))</f>
        <v>939</v>
      </c>
      <c r="G31" s="132">
        <f>IF(OR(E31="",F31="DQ",F31="DNF",F31="DNS",F31=""),"-",VLOOKUP(C31,'FERDİ SONUÇ'!$B$6:$H$1069,7,0))</f>
        <v>19</v>
      </c>
      <c r="H31" s="150"/>
      <c r="I31" s="150"/>
      <c r="J31" s="150"/>
      <c r="K31" s="146"/>
    </row>
    <row r="32" spans="1:11" ht="15.75">
      <c r="A32" s="126">
        <f>IF(ISERROR(SMALL('TAKIM KAYIT'!$A$6:$A$125,1)),"",SMALL('TAKIM KAYIT'!$A$6:$A$125,7))</f>
        <v>7</v>
      </c>
      <c r="B32" s="127" t="str">
        <f>IF(A32="","",VLOOKUP(A32,'TAKIM KAYIT'!$A$6:$O$1250,3,0))</f>
        <v>KIRŞEHİR - BELEDİYE GENÇLİK SP. K.</v>
      </c>
      <c r="C32" s="128">
        <f>IF(A32="","",VLOOKUP(A32,'TAKIM KAYIT'!$B$6:$O$125,3,FALSE))</f>
        <v>464</v>
      </c>
      <c r="D32" s="129" t="str">
        <f>IF(ISERROR(VLOOKUP($C32,'START LİSTE'!$B$6:$F$1025,2,0)),"",VLOOKUP($C32,'START LİSTE'!$B$6:$F$1025,2,0))</f>
        <v>HÜSEYİN KARACA</v>
      </c>
      <c r="E32" s="130" t="str">
        <f>IF(ISERROR(VLOOKUP($C32,'START LİSTE'!$B$6:$F$1025,4,0)),"",VLOOKUP($C32,'START LİSTE'!$B$6:$F$1025,4,0))</f>
        <v>T</v>
      </c>
      <c r="F32" s="131">
        <f>IF(ISERROR(VLOOKUP($C32,'FERDİ SONUÇ'!$B$6:$H$1069,6,0)),"",VLOOKUP($C32,'FERDİ SONUÇ'!$B$6:$H$1069,6,0))</f>
        <v>1015</v>
      </c>
      <c r="G32" s="132">
        <f>IF(OR(E32="",F32="DQ",F32="DNF",F32="DNS",F32=""),"-",VLOOKUP(C32,'FERDİ SONUÇ'!$B$6:$H$1069,7,0))</f>
        <v>21</v>
      </c>
      <c r="H32" s="141">
        <f>IF(A32="","",VLOOKUP(A32,'TAKIM KAYIT'!$A$6:$T$1250,11,0))</f>
        <v>66</v>
      </c>
      <c r="I32" s="141">
        <f>IF(A32="","",VLOOKUP(A32,'TAKIM KAYIT'!$A$6:$T$1250,12,0))</f>
        <v>57.0024</v>
      </c>
      <c r="J32" s="110">
        <f>IF(A32="","",VLOOKUP(A32,'TAKIM KAYIT'!$A$6:$T$1250,13,0))</f>
        <v>0</v>
      </c>
      <c r="K32" s="141">
        <f>IF(A32="","",VLOOKUP(A32,'TAKIM KAYIT'!$A$6:$T$1250,15,0))</f>
        <v>123.0024</v>
      </c>
    </row>
    <row r="33" spans="1:11" ht="14.25">
      <c r="A33" s="126"/>
      <c r="B33" s="127"/>
      <c r="C33" s="128">
        <f>IF(A32="","",INDEX('TAKIM KAYIT'!$D$6:$D$125,MATCH(C32,'TAKIM KAYIT'!$D$6:$D$125,0)+1))</f>
        <v>467</v>
      </c>
      <c r="D33" s="129" t="str">
        <f>IF(ISERROR(VLOOKUP($C33,'START LİSTE'!$B$6:$F$1025,2,0)),"",VLOOKUP($C33,'START LİSTE'!$B$6:$F$1025,2,0))</f>
        <v>FURKAN KILINÇ   (PROTESTOLU)</v>
      </c>
      <c r="E33" s="130" t="str">
        <f>IF(ISERROR(VLOOKUP($C33,'START LİSTE'!$B$6:$F$1025,4,0)),"",VLOOKUP($C33,'START LİSTE'!$B$6:$F$1025,4,0))</f>
        <v>T</v>
      </c>
      <c r="F33" s="131">
        <f>IF(ISERROR(VLOOKUP($C33,'FERDİ SONUÇ'!$B$6:$H$1069,6,0)),"",VLOOKUP($C33,'FERDİ SONUÇ'!$B$6:$H$1069,6,0))</f>
        <v>1054</v>
      </c>
      <c r="G33" s="132">
        <f>IF(OR(E33="",F33="DQ",F33="DNF",F33="DNS",F33=""),"-",VLOOKUP(C33,'FERDİ SONUÇ'!$B$6:$H$1069,7,0))</f>
        <v>25</v>
      </c>
      <c r="H33" s="150"/>
      <c r="I33" s="150"/>
      <c r="J33" s="150"/>
      <c r="K33" s="146"/>
    </row>
    <row r="34" spans="1:11" ht="14.25">
      <c r="A34" s="119"/>
      <c r="B34" s="120"/>
      <c r="C34" s="121">
        <f>IF(A36="","",INDEX('TAKIM KAYIT'!$D$6:$D$125,MATCH(C36,'TAKIM KAYIT'!$D$6:$D$125,0)-2))</f>
        <v>438</v>
      </c>
      <c r="D34" s="122" t="str">
        <f>IF(ISERROR(VLOOKUP($C34,'START LİSTE'!$B$6:$F$1025,2,0)),"",VLOOKUP($C34,'START LİSTE'!$B$6:$F$1025,2,0))</f>
        <v>MUSTAFA YILMAZ</v>
      </c>
      <c r="E34" s="123" t="str">
        <f>IF(ISERROR(VLOOKUP($C34,'START LİSTE'!$B$6:$F$1025,4,0)),"",VLOOKUP($C34,'START LİSTE'!$B$6:$F$1025,4,0))</f>
        <v>T</v>
      </c>
      <c r="F34" s="124">
        <f>IF(ISERROR(VLOOKUP($C34,'FERDİ SONUÇ'!$B$6:$H$1069,6,0)),"",VLOOKUP($C34,'FERDİ SONUÇ'!$B$6:$H$1069,6,0))</f>
        <v>1059</v>
      </c>
      <c r="G34" s="125">
        <f>IF(OR(E34="",F34="DQ",F34="DNF",F34="DNS",F34=""),"-",VLOOKUP(C34,'FERDİ SONUÇ'!$B$6:$H$1069,7,0))</f>
        <v>26</v>
      </c>
      <c r="H34" s="149"/>
      <c r="I34" s="149"/>
      <c r="J34" s="149"/>
      <c r="K34" s="145"/>
    </row>
    <row r="35" spans="1:11" ht="14.25">
      <c r="A35" s="126"/>
      <c r="B35" s="127"/>
      <c r="C35" s="128">
        <f>IF(A36="","",INDEX('TAKIM KAYIT'!$D$6:$D$125,MATCH(C36,'TAKIM KAYIT'!$D$6:$D$125,0)-1))</f>
        <v>439</v>
      </c>
      <c r="D35" s="129" t="str">
        <f>IF(ISERROR(VLOOKUP($C35,'START LİSTE'!$B$6:$F$1025,2,0)),"",VLOOKUP($C35,'START LİSTE'!$B$6:$F$1025,2,0))</f>
        <v>CEBRAİL CEYLAN</v>
      </c>
      <c r="E35" s="130" t="str">
        <f>IF(ISERROR(VLOOKUP($C35,'START LİSTE'!$B$6:$F$1025,4,0)),"",VLOOKUP($C35,'START LİSTE'!$B$6:$F$1025,4,0))</f>
        <v>T</v>
      </c>
      <c r="F35" s="131" t="str">
        <f>IF(ISERROR(VLOOKUP($C35,'FERDİ SONUÇ'!$B$6:$H$1069,6,0)),"",VLOOKUP($C35,'FERDİ SONUÇ'!$B$6:$H$1069,6,0))</f>
        <v>DNF</v>
      </c>
      <c r="G35" s="132" t="str">
        <f>IF(OR(E35="",F35="DQ",F35="DNF",F35="DNS",F35=""),"-",VLOOKUP(C35,'FERDİ SONUÇ'!$B$6:$H$1069,7,0))</f>
        <v>-</v>
      </c>
      <c r="H35" s="150"/>
      <c r="I35" s="150"/>
      <c r="J35" s="150"/>
      <c r="K35" s="146"/>
    </row>
    <row r="36" spans="1:11" ht="15.75">
      <c r="A36" s="126">
        <f>IF(ISERROR(SMALL('TAKIM KAYIT'!$A$6:$A$125,1)),"",SMALL('TAKIM KAYIT'!$A$6:$A$125,8))</f>
        <v>1014</v>
      </c>
      <c r="B36" s="127" t="str">
        <f>IF(A36="","",VLOOKUP(A36,'TAKIM KAYIT'!$A$6:$O$1250,3,0))</f>
        <v>KIRŞEHİR- KIRŞEHİR LİSESİ S. KLB</v>
      </c>
      <c r="C36" s="128">
        <f>IF(A36="","",VLOOKUP(A36,'TAKIM KAYIT'!$B$6:$O$125,3,FALSE))</f>
        <v>440</v>
      </c>
      <c r="D36" s="129" t="str">
        <f>IF(ISERROR(VLOOKUP($C36,'START LİSTE'!$B$6:$F$1025,2,0)),"",VLOOKUP($C36,'START LİSTE'!$B$6:$F$1025,2,0))</f>
        <v>YUNUS EMRE BALDEDE</v>
      </c>
      <c r="E36" s="130" t="str">
        <f>IF(ISERROR(VLOOKUP($C36,'START LİSTE'!$B$6:$F$1025,4,0)),"",VLOOKUP($C36,'START LİSTE'!$B$6:$F$1025,4,0))</f>
        <v>T</v>
      </c>
      <c r="F36" s="131" t="str">
        <f>IF(ISERROR(VLOOKUP($C36,'FERDİ SONUÇ'!$B$6:$H$1069,6,0)),"",VLOOKUP($C36,'FERDİ SONUÇ'!$B$6:$H$1069,6,0))</f>
        <v>DNF</v>
      </c>
      <c r="G36" s="132" t="str">
        <f>IF(OR(E36="",F36="DQ",F36="DNF",F36="DNS",F36=""),"-",VLOOKUP(C36,'FERDİ SONUÇ'!$B$6:$H$1069,7,0))</f>
        <v>-</v>
      </c>
      <c r="H36" s="141">
        <f>IF(A36="","",VLOOKUP(A36,'TAKIM KAYIT'!$A$6:$T$1250,11,0))</f>
        <v>85</v>
      </c>
      <c r="I36" s="141" t="str">
        <f>IF(A36="","",VLOOKUP(A36,'TAKIM KAYIT'!$A$6:$T$1250,12,0))</f>
        <v>DQ</v>
      </c>
      <c r="J36" s="110">
        <f>IF(A36="","",VLOOKUP(A36,'TAKIM KAYIT'!$A$6:$T$1250,13,0))</f>
        <v>0</v>
      </c>
      <c r="K36" s="141" t="str">
        <f>IF(A36="","",VLOOKUP(A36,'TAKIM KAYIT'!$A$6:$T$1250,15,0))</f>
        <v>DQ</v>
      </c>
    </row>
    <row r="37" spans="1:11" ht="14.25">
      <c r="A37" s="126"/>
      <c r="B37" s="127"/>
      <c r="C37" s="128">
        <f>IF(A36="","",INDEX('TAKIM KAYIT'!$D$6:$D$125,MATCH(C36,'TAKIM KAYIT'!$D$6:$D$125,0)+1))</f>
        <v>441</v>
      </c>
      <c r="D37" s="129" t="str">
        <f>IF(ISERROR(VLOOKUP($C37,'START LİSTE'!$B$6:$F$1025,2,0)),"",VLOOKUP($C37,'START LİSTE'!$B$6:$F$1025,2,0))</f>
        <v>ONUR UÇAR</v>
      </c>
      <c r="E37" s="130" t="str">
        <f>IF(ISERROR(VLOOKUP($C37,'START LİSTE'!$B$6:$F$1025,4,0)),"",VLOOKUP($C37,'START LİSTE'!$B$6:$F$1025,4,0))</f>
        <v>T</v>
      </c>
      <c r="F37" s="131">
        <f>IF(ISERROR(VLOOKUP($C37,'FERDİ SONUÇ'!$B$6:$H$1069,6,0)),"",VLOOKUP($C37,'FERDİ SONUÇ'!$B$6:$H$1069,6,0))</f>
        <v>1214</v>
      </c>
      <c r="G37" s="132">
        <f>IF(OR(E37="",F37="DQ",F37="DNF",F37="DNS",F37=""),"-",VLOOKUP(C37,'FERDİ SONUÇ'!$B$6:$H$1069,7,0))</f>
        <v>30</v>
      </c>
      <c r="H37" s="150"/>
      <c r="I37" s="150"/>
      <c r="J37" s="150"/>
      <c r="K37" s="146"/>
    </row>
    <row r="38" spans="1:11" ht="14.25">
      <c r="A38" s="119"/>
      <c r="B38" s="120"/>
      <c r="C38" s="121">
        <f>IF(A40="","",INDEX('TAKIM KAYIT'!$D$6:$D$125,MATCH(C40,'TAKIM KAYIT'!$D$6:$D$125,0)-2))</f>
        <v>454</v>
      </c>
      <c r="D38" s="122" t="str">
        <f>IF(ISERROR(VLOOKUP($C38,'START LİSTE'!$B$6:$F$1025,2,0)),"",VLOOKUP($C38,'START LİSTE'!$B$6:$F$1025,2,0))</f>
        <v>EDİP ERÇİN</v>
      </c>
      <c r="E38" s="123" t="str">
        <f>IF(ISERROR(VLOOKUP($C38,'START LİSTE'!$B$6:$F$1025,4,0)),"",VLOOKUP($C38,'START LİSTE'!$B$6:$F$1025,4,0))</f>
        <v>T</v>
      </c>
      <c r="F38" s="124">
        <f>IF(ISERROR(VLOOKUP($C38,'FERDİ SONUÇ'!$B$6:$H$1069,6,0)),"",VLOOKUP($C38,'FERDİ SONUÇ'!$B$6:$H$1069,6,0))</f>
        <v>823</v>
      </c>
      <c r="G38" s="125">
        <f>IF(OR(E38="",F38="DQ",F38="DNF",F38="DNS",F38=""),"-",VLOOKUP(C38,'FERDİ SONUÇ'!$B$6:$H$1069,7,0))</f>
        <v>6</v>
      </c>
      <c r="H38" s="149"/>
      <c r="I38" s="149"/>
      <c r="J38" s="149"/>
      <c r="K38" s="145"/>
    </row>
    <row r="39" spans="1:11" ht="14.25">
      <c r="A39" s="126"/>
      <c r="B39" s="127"/>
      <c r="C39" s="128">
        <f>IF(A40="","",INDEX('TAKIM KAYIT'!$D$6:$D$125,MATCH(C40,'TAKIM KAYIT'!$D$6:$D$125,0)-1))</f>
        <v>455</v>
      </c>
      <c r="D39" s="129" t="str">
        <f>IF(ISERROR(VLOOKUP($C39,'START LİSTE'!$B$6:$F$1025,2,0)),"",VLOOKUP($C39,'START LİSTE'!$B$6:$F$1025,2,0))</f>
        <v>FURKAN GÜVERCİNLİ</v>
      </c>
      <c r="E39" s="130" t="str">
        <f>IF(ISERROR(VLOOKUP($C39,'START LİSTE'!$B$6:$F$1025,4,0)),"",VLOOKUP($C39,'START LİSTE'!$B$6:$F$1025,4,0))</f>
        <v>T</v>
      </c>
      <c r="F39" s="131" t="str">
        <f>IF(ISERROR(VLOOKUP($C39,'FERDİ SONUÇ'!$B$6:$H$1069,6,0)),"",VLOOKUP($C39,'FERDİ SONUÇ'!$B$6:$H$1069,6,0))</f>
        <v>DNF</v>
      </c>
      <c r="G39" s="132" t="str">
        <f>IF(OR(E39="",F39="DQ",F39="DNF",F39="DNS",F39=""),"-",VLOOKUP(C39,'FERDİ SONUÇ'!$B$6:$H$1069,7,0))</f>
        <v>-</v>
      </c>
      <c r="H39" s="150"/>
      <c r="I39" s="150"/>
      <c r="J39" s="150"/>
      <c r="K39" s="146"/>
    </row>
    <row r="40" spans="1:11" ht="15.75">
      <c r="A40" s="126">
        <f>IF(ISERROR(SMALL('TAKIM KAYIT'!$A$6:$A$125,1)),"",SMALL('TAKIM KAYIT'!$A$6:$A$125,9))</f>
        <v>1038</v>
      </c>
      <c r="B40" s="127" t="str">
        <f>IF(A40="","",VLOOKUP(A40,'TAKIM KAYIT'!$A$6:$O$1250,3,0))</f>
        <v>NEVŞEHİR GHSİM S.K</v>
      </c>
      <c r="C40" s="128">
        <f>IF(A40="","",VLOOKUP(A40,'TAKIM KAYIT'!$B$6:$O$125,3,FALSE))</f>
        <v>456</v>
      </c>
      <c r="D40" s="129" t="str">
        <f>IF(ISERROR(VLOOKUP($C40,'START LİSTE'!$B$6:$F$1025,2,0)),"",VLOOKUP($C40,'START LİSTE'!$B$6:$F$1025,2,0))</f>
        <v>ZEKERYA KOCATEPE</v>
      </c>
      <c r="E40" s="130" t="str">
        <f>IF(ISERROR(VLOOKUP($C40,'START LİSTE'!$B$6:$F$1025,4,0)),"",VLOOKUP($C40,'START LİSTE'!$B$6:$F$1025,4,0))</f>
        <v>T</v>
      </c>
      <c r="F40" s="131">
        <f>IF(ISERROR(VLOOKUP($C40,'FERDİ SONUÇ'!$B$6:$H$1069,6,0)),"",VLOOKUP($C40,'FERDİ SONUÇ'!$B$6:$H$1069,6,0))</f>
        <v>919</v>
      </c>
      <c r="G40" s="132">
        <f>IF(OR(E40="",F40="DQ",F40="DNF",F40="DNS",F40=""),"-",VLOOKUP(C40,'FERDİ SONUÇ'!$B$6:$H$1069,7,0))</f>
        <v>16</v>
      </c>
      <c r="H40" s="141">
        <f>IF(A40="","",VLOOKUP(A40,'TAKIM KAYIT'!$A$6:$T$1250,11,0))</f>
        <v>46</v>
      </c>
      <c r="I40" s="141" t="str">
        <f>IF(A40="","",VLOOKUP(A40,'TAKIM KAYIT'!$A$6:$T$1250,12,0))</f>
        <v>DQ</v>
      </c>
      <c r="J40" s="110">
        <f>IF(A40="","",VLOOKUP(A40,'TAKIM KAYIT'!$A$6:$T$1250,13,0))</f>
        <v>0</v>
      </c>
      <c r="K40" s="141" t="str">
        <f>IF(A40="","",VLOOKUP(A40,'TAKIM KAYIT'!$A$6:$T$1250,15,0))</f>
        <v>DQ</v>
      </c>
    </row>
    <row r="41" spans="1:11" ht="14.25">
      <c r="A41" s="126"/>
      <c r="B41" s="127"/>
      <c r="C41" s="128">
        <f>IF(A40="","",INDEX('TAKIM KAYIT'!$D$6:$D$125,MATCH(C40,'TAKIM KAYIT'!$D$6:$D$125,0)+1))</f>
        <v>457</v>
      </c>
      <c r="D41" s="129" t="str">
        <f>IF(ISERROR(VLOOKUP($C41,'START LİSTE'!$B$6:$F$1025,2,0)),"",VLOOKUP($C41,'START LİSTE'!$B$6:$F$1025,2,0))</f>
        <v>HAKAN KÖSTEKÇİ</v>
      </c>
      <c r="E41" s="130" t="str">
        <f>IF(ISERROR(VLOOKUP($C41,'START LİSTE'!$B$6:$F$1025,4,0)),"",VLOOKUP($C41,'START LİSTE'!$B$6:$F$1025,4,0))</f>
        <v>T</v>
      </c>
      <c r="F41" s="131" t="str">
        <f>IF(ISERROR(VLOOKUP($C41,'FERDİ SONUÇ'!$B$6:$H$1069,6,0)),"",VLOOKUP($C41,'FERDİ SONUÇ'!$B$6:$H$1069,6,0))</f>
        <v>DNS</v>
      </c>
      <c r="G41" s="132" t="str">
        <f>IF(OR(E41="",F41="DQ",F41="DNF",F41="DNS",F41=""),"-",VLOOKUP(C41,'FERDİ SONUÇ'!$B$6:$H$1069,7,0))</f>
        <v>-</v>
      </c>
      <c r="H41" s="150"/>
      <c r="I41" s="150"/>
      <c r="J41" s="150"/>
      <c r="K41" s="146"/>
    </row>
    <row r="42" spans="1:11" ht="14.25">
      <c r="A42" s="119"/>
      <c r="B42" s="120"/>
      <c r="C42" s="121" t="e">
        <f>IF(A44="","",INDEX('TAKIM KAYIT'!$D$6:$D$125,MATCH(C44,'TAKIM KAYIT'!$D$6:$D$125,0)-2))</f>
        <v>#NUM!</v>
      </c>
      <c r="D42" s="122">
        <f>IF(ISERROR(VLOOKUP($C42,'START LİSTE'!$B$6:$F$1025,2,0)),"",VLOOKUP($C42,'START LİSTE'!$B$6:$F$1025,2,0))</f>
      </c>
      <c r="E42" s="123">
        <f>IF(ISERROR(VLOOKUP($C42,'START LİSTE'!$B$6:$F$1025,4,0)),"",VLOOKUP($C42,'START LİSTE'!$B$6:$F$1025,4,0))</f>
      </c>
      <c r="F42" s="124">
        <f>IF(ISERROR(VLOOKUP($C42,'FERDİ SONUÇ'!$B$6:$H$1069,6,0)),"",VLOOKUP($C42,'FERDİ SONUÇ'!$B$6:$H$1069,6,0))</f>
      </c>
      <c r="G42" s="125" t="str">
        <f>IF(OR(E42="",F42="DQ",F42="DNF",F42="DNS",F42=""),"-",VLOOKUP(C42,'FERDİ SONUÇ'!$B$6:$H$1069,7,0))</f>
        <v>-</v>
      </c>
      <c r="H42" s="149"/>
      <c r="I42" s="149"/>
      <c r="J42" s="149"/>
      <c r="K42" s="145"/>
    </row>
    <row r="43" spans="1:11" ht="14.25">
      <c r="A43" s="126"/>
      <c r="B43" s="127"/>
      <c r="C43" s="128" t="e">
        <f>IF(A44="","",INDEX('TAKIM KAYIT'!$D$6:$D$125,MATCH(C44,'TAKIM KAYIT'!$D$6:$D$125,0)-1))</f>
        <v>#NUM!</v>
      </c>
      <c r="D43" s="129">
        <f>IF(ISERROR(VLOOKUP($C43,'START LİSTE'!$B$6:$F$1025,2,0)),"",VLOOKUP($C43,'START LİSTE'!$B$6:$F$1025,2,0))</f>
      </c>
      <c r="E43" s="130">
        <f>IF(ISERROR(VLOOKUP($C43,'START LİSTE'!$B$6:$F$1025,4,0)),"",VLOOKUP($C43,'START LİSTE'!$B$6:$F$1025,4,0))</f>
      </c>
      <c r="F43" s="131">
        <f>IF(ISERROR(VLOOKUP($C43,'FERDİ SONUÇ'!$B$6:$H$1069,6,0)),"",VLOOKUP($C43,'FERDİ SONUÇ'!$B$6:$H$1069,6,0))</f>
      </c>
      <c r="G43" s="132" t="str">
        <f>IF(OR(E43="",F43="DQ",F43="DNF",F43="DNS",F43=""),"-",VLOOKUP(C43,'FERDİ SONUÇ'!$B$6:$H$1069,7,0))</f>
        <v>-</v>
      </c>
      <c r="H43" s="150"/>
      <c r="I43" s="150"/>
      <c r="J43" s="150"/>
      <c r="K43" s="146"/>
    </row>
    <row r="44" spans="1:11" ht="15.75">
      <c r="A44" s="126" t="e">
        <f>IF(ISERROR(SMALL('TAKIM KAYIT'!$A$6:$A$125,1)),"",SMALL('TAKIM KAYIT'!$A$6:$A$125,10))</f>
        <v>#NUM!</v>
      </c>
      <c r="B44" s="127" t="e">
        <f>IF(A44="","",VLOOKUP(A44,'TAKIM KAYIT'!$A$6:$O$1250,3,0))</f>
        <v>#NUM!</v>
      </c>
      <c r="C44" s="128" t="e">
        <f>IF(A44="","",VLOOKUP(A44,'TAKIM KAYIT'!$B$6:$O$125,3,FALSE))</f>
        <v>#NUM!</v>
      </c>
      <c r="D44" s="129">
        <f>IF(ISERROR(VLOOKUP($C44,'START LİSTE'!$B$6:$F$1025,2,0)),"",VLOOKUP($C44,'START LİSTE'!$B$6:$F$1025,2,0))</f>
      </c>
      <c r="E44" s="130">
        <f>IF(ISERROR(VLOOKUP($C44,'START LİSTE'!$B$6:$F$1025,4,0)),"",VLOOKUP($C44,'START LİSTE'!$B$6:$F$1025,4,0))</f>
      </c>
      <c r="F44" s="131">
        <f>IF(ISERROR(VLOOKUP($C44,'FERDİ SONUÇ'!$B$6:$H$1069,6,0)),"",VLOOKUP($C44,'FERDİ SONUÇ'!$B$6:$H$1069,6,0))</f>
      </c>
      <c r="G44" s="132" t="str">
        <f>IF(OR(E44="",F44="DQ",F44="DNF",F44="DNS",F44=""),"-",VLOOKUP(C44,'FERDİ SONUÇ'!$B$6:$H$1069,7,0))</f>
        <v>-</v>
      </c>
      <c r="H44" s="141" t="e">
        <f>IF(A44="","",VLOOKUP(A44,'TAKIM KAYIT'!$A$6:$T$1250,11,0))</f>
        <v>#NUM!</v>
      </c>
      <c r="I44" s="141" t="e">
        <f>IF(A44="","",VLOOKUP(A44,'TAKIM KAYIT'!$A$6:$T$1250,12,0))</f>
        <v>#NUM!</v>
      </c>
      <c r="J44" s="110" t="e">
        <f>IF(A44="","",VLOOKUP(A44,'TAKIM KAYIT'!$A$6:$T$1250,13,0))</f>
        <v>#NUM!</v>
      </c>
      <c r="K44" s="141" t="e">
        <f>IF(A44="","",VLOOKUP(A44,'TAKIM KAYIT'!$A$6:$T$1250,15,0))</f>
        <v>#NUM!</v>
      </c>
    </row>
    <row r="45" spans="1:11" ht="14.25">
      <c r="A45" s="126"/>
      <c r="B45" s="127"/>
      <c r="C45" s="128" t="e">
        <f>IF(A44="","",INDEX('TAKIM KAYIT'!$D$6:$D$125,MATCH(C44,'TAKIM KAYIT'!$D$6:$D$125,0)+1))</f>
        <v>#NUM!</v>
      </c>
      <c r="D45" s="129">
        <f>IF(ISERROR(VLOOKUP($C45,'START LİSTE'!$B$6:$F$1025,2,0)),"",VLOOKUP($C45,'START LİSTE'!$B$6:$F$1025,2,0))</f>
      </c>
      <c r="E45" s="130">
        <f>IF(ISERROR(VLOOKUP($C45,'START LİSTE'!$B$6:$F$1025,4,0)),"",VLOOKUP($C45,'START LİSTE'!$B$6:$F$1025,4,0))</f>
      </c>
      <c r="F45" s="131">
        <f>IF(ISERROR(VLOOKUP($C45,'FERDİ SONUÇ'!$B$6:$H$1069,6,0)),"",VLOOKUP($C45,'FERDİ SONUÇ'!$B$6:$H$1069,6,0))</f>
      </c>
      <c r="G45" s="132" t="str">
        <f>IF(OR(E45="",F45="DQ",F45="DNF",F45="DNS",F45=""),"-",VLOOKUP(C45,'FERDİ SONUÇ'!$B$6:$H$1069,7,0))</f>
        <v>-</v>
      </c>
      <c r="H45" s="150"/>
      <c r="I45" s="150"/>
      <c r="J45" s="150"/>
      <c r="K45" s="146"/>
    </row>
    <row r="46" spans="1:11" ht="14.25">
      <c r="A46" s="119"/>
      <c r="B46" s="120"/>
      <c r="C46" s="121" t="e">
        <f>IF(A48="","",INDEX('TAKIM KAYIT'!$D$6:$D$125,MATCH(C48,'TAKIM KAYIT'!$D$6:$D$125,0)-2))</f>
        <v>#NUM!</v>
      </c>
      <c r="D46" s="122">
        <f>IF(ISERROR(VLOOKUP($C46,'START LİSTE'!$B$6:$F$1025,2,0)),"",VLOOKUP($C46,'START LİSTE'!$B$6:$F$1025,2,0))</f>
      </c>
      <c r="E46" s="123">
        <f>IF(ISERROR(VLOOKUP($C46,'START LİSTE'!$B$6:$F$1025,4,0)),"",VLOOKUP($C46,'START LİSTE'!$B$6:$F$1025,4,0))</f>
      </c>
      <c r="F46" s="124">
        <f>IF(ISERROR(VLOOKUP($C46,'FERDİ SONUÇ'!$B$6:$H$1069,6,0)),"",VLOOKUP($C46,'FERDİ SONUÇ'!$B$6:$H$1069,6,0))</f>
      </c>
      <c r="G46" s="125" t="str">
        <f>IF(OR(E46="",F46="DQ",F46="DNF",F46="DNS",F46=""),"-",VLOOKUP(C46,'FERDİ SONUÇ'!$B$6:$H$1069,7,0))</f>
        <v>-</v>
      </c>
      <c r="H46" s="149"/>
      <c r="I46" s="149"/>
      <c r="J46" s="149"/>
      <c r="K46" s="145"/>
    </row>
    <row r="47" spans="1:11" ht="14.25">
      <c r="A47" s="126"/>
      <c r="B47" s="127"/>
      <c r="C47" s="128" t="e">
        <f>IF(A48="","",INDEX('TAKIM KAYIT'!$D$6:$D$125,MATCH(C48,'TAKIM KAYIT'!$D$6:$D$125,0)-1))</f>
        <v>#NUM!</v>
      </c>
      <c r="D47" s="129">
        <f>IF(ISERROR(VLOOKUP($C47,'START LİSTE'!$B$6:$F$1025,2,0)),"",VLOOKUP($C47,'START LİSTE'!$B$6:$F$1025,2,0))</f>
      </c>
      <c r="E47" s="130">
        <f>IF(ISERROR(VLOOKUP($C47,'START LİSTE'!$B$6:$F$1025,4,0)),"",VLOOKUP($C47,'START LİSTE'!$B$6:$F$1025,4,0))</f>
      </c>
      <c r="F47" s="131">
        <f>IF(ISERROR(VLOOKUP($C47,'FERDİ SONUÇ'!$B$6:$H$1069,6,0)),"",VLOOKUP($C47,'FERDİ SONUÇ'!$B$6:$H$1069,6,0))</f>
      </c>
      <c r="G47" s="132" t="str">
        <f>IF(OR(E47="",F47="DQ",F47="DNF",F47="DNS",F47=""),"-",VLOOKUP(C47,'FERDİ SONUÇ'!$B$6:$H$1069,7,0))</f>
        <v>-</v>
      </c>
      <c r="H47" s="150"/>
      <c r="I47" s="150"/>
      <c r="J47" s="150"/>
      <c r="K47" s="146"/>
    </row>
    <row r="48" spans="1:11" ht="15.75">
      <c r="A48" s="126" t="e">
        <f>IF(ISERROR(SMALL('TAKIM KAYIT'!$A$6:$A$125,1)),"",SMALL('TAKIM KAYIT'!$A$6:$A$125,11))</f>
        <v>#NUM!</v>
      </c>
      <c r="B48" s="127" t="e">
        <f>IF(A48="","",VLOOKUP(A48,'TAKIM KAYIT'!$A$6:$O$1250,3,0))</f>
        <v>#NUM!</v>
      </c>
      <c r="C48" s="128" t="e">
        <f>IF(A48="","",VLOOKUP(A48,'TAKIM KAYIT'!$B$6:$O$125,3,FALSE))</f>
        <v>#NUM!</v>
      </c>
      <c r="D48" s="129">
        <f>IF(ISERROR(VLOOKUP($C48,'START LİSTE'!$B$6:$F$1025,2,0)),"",VLOOKUP($C48,'START LİSTE'!$B$6:$F$1025,2,0))</f>
      </c>
      <c r="E48" s="130">
        <f>IF(ISERROR(VLOOKUP($C48,'START LİSTE'!$B$6:$F$1025,4,0)),"",VLOOKUP($C48,'START LİSTE'!$B$6:$F$1025,4,0))</f>
      </c>
      <c r="F48" s="131">
        <f>IF(ISERROR(VLOOKUP($C48,'FERDİ SONUÇ'!$B$6:$H$1069,6,0)),"",VLOOKUP($C48,'FERDİ SONUÇ'!$B$6:$H$1069,6,0))</f>
      </c>
      <c r="G48" s="132" t="str">
        <f>IF(OR(E48="",F48="DQ",F48="DNF",F48="DNS",F48=""),"-",VLOOKUP(C48,'FERDİ SONUÇ'!$B$6:$H$1069,7,0))</f>
        <v>-</v>
      </c>
      <c r="H48" s="141" t="e">
        <f>IF(A48="","",VLOOKUP(A48,'TAKIM KAYIT'!$A$6:$T$1250,11,0))</f>
        <v>#NUM!</v>
      </c>
      <c r="I48" s="141" t="e">
        <f>IF(A48="","",VLOOKUP(A48,'TAKIM KAYIT'!$A$6:$T$1250,12,0))</f>
        <v>#NUM!</v>
      </c>
      <c r="J48" s="110" t="e">
        <f>IF(A48="","",VLOOKUP(A48,'TAKIM KAYIT'!$A$6:$T$1250,13,0))</f>
        <v>#NUM!</v>
      </c>
      <c r="K48" s="141" t="e">
        <f>IF(A48="","",VLOOKUP(A48,'TAKIM KAYIT'!$A$6:$T$1250,15,0))</f>
        <v>#NUM!</v>
      </c>
    </row>
    <row r="49" spans="1:11" ht="14.25">
      <c r="A49" s="126"/>
      <c r="B49" s="127"/>
      <c r="C49" s="128" t="e">
        <f>IF(A48="","",INDEX('TAKIM KAYIT'!$D$6:$D$125,MATCH(C48,'TAKIM KAYIT'!$D$6:$D$125,0)+1))</f>
        <v>#NUM!</v>
      </c>
      <c r="D49" s="129">
        <f>IF(ISERROR(VLOOKUP($C49,'START LİSTE'!$B$6:$F$1025,2,0)),"",VLOOKUP($C49,'START LİSTE'!$B$6:$F$1025,2,0))</f>
      </c>
      <c r="E49" s="130">
        <f>IF(ISERROR(VLOOKUP($C49,'START LİSTE'!$B$6:$F$1025,4,0)),"",VLOOKUP($C49,'START LİSTE'!$B$6:$F$1025,4,0))</f>
      </c>
      <c r="F49" s="131">
        <f>IF(ISERROR(VLOOKUP($C49,'FERDİ SONUÇ'!$B$6:$H$1069,6,0)),"",VLOOKUP($C49,'FERDİ SONUÇ'!$B$6:$H$1069,6,0))</f>
      </c>
      <c r="G49" s="132" t="str">
        <f>IF(OR(E49="",F49="DQ",F49="DNF",F49="DNS",F49=""),"-",VLOOKUP(C49,'FERDİ SONUÇ'!$B$6:$H$1069,7,0))</f>
        <v>-</v>
      </c>
      <c r="H49" s="150"/>
      <c r="I49" s="150"/>
      <c r="J49" s="150"/>
      <c r="K49" s="146"/>
    </row>
    <row r="50" spans="1:11" ht="14.25">
      <c r="A50" s="119"/>
      <c r="B50" s="120"/>
      <c r="C50" s="121" t="e">
        <f>IF(A52="","",INDEX('TAKIM KAYIT'!$D$6:$D$125,MATCH(C52,'TAKIM KAYIT'!$D$6:$D$125,0)-2))</f>
        <v>#NUM!</v>
      </c>
      <c r="D50" s="122">
        <f>IF(ISERROR(VLOOKUP($C50,'START LİSTE'!$B$6:$F$1025,2,0)),"",VLOOKUP($C50,'START LİSTE'!$B$6:$F$1025,2,0))</f>
      </c>
      <c r="E50" s="123">
        <f>IF(ISERROR(VLOOKUP($C50,'START LİSTE'!$B$6:$F$1025,4,0)),"",VLOOKUP($C50,'START LİSTE'!$B$6:$F$1025,4,0))</f>
      </c>
      <c r="F50" s="124">
        <f>IF(ISERROR(VLOOKUP($C50,'FERDİ SONUÇ'!$B$6:$H$1069,6,0)),"",VLOOKUP($C50,'FERDİ SONUÇ'!$B$6:$H$1069,6,0))</f>
      </c>
      <c r="G50" s="125" t="str">
        <f>IF(OR(E50="",F50="DQ",F50="DNF",F50="DNS",F50=""),"-",VLOOKUP(C50,'FERDİ SONUÇ'!$B$6:$H$1069,7,0))</f>
        <v>-</v>
      </c>
      <c r="H50" s="149"/>
      <c r="I50" s="149"/>
      <c r="J50" s="149"/>
      <c r="K50" s="145"/>
    </row>
    <row r="51" spans="1:11" ht="14.25">
      <c r="A51" s="126"/>
      <c r="B51" s="127"/>
      <c r="C51" s="128" t="e">
        <f>IF(A52="","",INDEX('TAKIM KAYIT'!$D$6:$D$125,MATCH(C52,'TAKIM KAYIT'!$D$6:$D$125,0)-1))</f>
        <v>#NUM!</v>
      </c>
      <c r="D51" s="129">
        <f>IF(ISERROR(VLOOKUP($C51,'START LİSTE'!$B$6:$F$1025,2,0)),"",VLOOKUP($C51,'START LİSTE'!$B$6:$F$1025,2,0))</f>
      </c>
      <c r="E51" s="130">
        <f>IF(ISERROR(VLOOKUP($C51,'START LİSTE'!$B$6:$F$1025,4,0)),"",VLOOKUP($C51,'START LİSTE'!$B$6:$F$1025,4,0))</f>
      </c>
      <c r="F51" s="131">
        <f>IF(ISERROR(VLOOKUP($C51,'FERDİ SONUÇ'!$B$6:$H$1069,6,0)),"",VLOOKUP($C51,'FERDİ SONUÇ'!$B$6:$H$1069,6,0))</f>
      </c>
      <c r="G51" s="132" t="str">
        <f>IF(OR(E51="",F51="DQ",F51="DNF",F51="DNS",F51=""),"-",VLOOKUP(C51,'FERDİ SONUÇ'!$B$6:$H$1069,7,0))</f>
        <v>-</v>
      </c>
      <c r="H51" s="150"/>
      <c r="I51" s="150"/>
      <c r="J51" s="150"/>
      <c r="K51" s="146"/>
    </row>
    <row r="52" spans="1:11" ht="15.75">
      <c r="A52" s="126" t="e">
        <f>IF(ISERROR(SMALL('TAKIM KAYIT'!$A$6:$A$125,1)),"",SMALL('TAKIM KAYIT'!$A$6:$A$125,12))</f>
        <v>#NUM!</v>
      </c>
      <c r="B52" s="127" t="e">
        <f>IF(A52="","",VLOOKUP(A52,'TAKIM KAYIT'!$A$6:$O$1250,3,0))</f>
        <v>#NUM!</v>
      </c>
      <c r="C52" s="128" t="e">
        <f>IF(A52="","",VLOOKUP(A52,'TAKIM KAYIT'!$B$6:$O$125,3,FALSE))</f>
        <v>#NUM!</v>
      </c>
      <c r="D52" s="129">
        <f>IF(ISERROR(VLOOKUP($C52,'START LİSTE'!$B$6:$F$1025,2,0)),"",VLOOKUP($C52,'START LİSTE'!$B$6:$F$1025,2,0))</f>
      </c>
      <c r="E52" s="130">
        <f>IF(ISERROR(VLOOKUP($C52,'START LİSTE'!$B$6:$F$1025,4,0)),"",VLOOKUP($C52,'START LİSTE'!$B$6:$F$1025,4,0))</f>
      </c>
      <c r="F52" s="131">
        <f>IF(ISERROR(VLOOKUP($C52,'FERDİ SONUÇ'!$B$6:$H$1069,6,0)),"",VLOOKUP($C52,'FERDİ SONUÇ'!$B$6:$H$1069,6,0))</f>
      </c>
      <c r="G52" s="132" t="str">
        <f>IF(OR(E52="",F52="DQ",F52="DNF",F52="DNS",F52=""),"-",VLOOKUP(C52,'FERDİ SONUÇ'!$B$6:$H$1069,7,0))</f>
        <v>-</v>
      </c>
      <c r="H52" s="141" t="e">
        <f>IF(A52="","",VLOOKUP(A52,'TAKIM KAYIT'!$A$6:$T$1250,11,0))</f>
        <v>#NUM!</v>
      </c>
      <c r="I52" s="141" t="e">
        <f>IF(A52="","",VLOOKUP(A52,'TAKIM KAYIT'!$A$6:$T$1250,12,0))</f>
        <v>#NUM!</v>
      </c>
      <c r="J52" s="110" t="e">
        <f>IF(A52="","",VLOOKUP(A52,'TAKIM KAYIT'!$A$6:$T$1250,13,0))</f>
        <v>#NUM!</v>
      </c>
      <c r="K52" s="141" t="e">
        <f>IF(A52="","",VLOOKUP(A52,'TAKIM KAYIT'!$A$6:$T$1250,15,0))</f>
        <v>#NUM!</v>
      </c>
    </row>
    <row r="53" spans="1:11" ht="14.25">
      <c r="A53" s="126"/>
      <c r="B53" s="127"/>
      <c r="C53" s="128" t="e">
        <f>IF(A52="","",INDEX('TAKIM KAYIT'!$D$6:$D$125,MATCH(C52,'TAKIM KAYIT'!$D$6:$D$125,0)+1))</f>
        <v>#NUM!</v>
      </c>
      <c r="D53" s="129">
        <f>IF(ISERROR(VLOOKUP($C53,'START LİSTE'!$B$6:$F$1025,2,0)),"",VLOOKUP($C53,'START LİSTE'!$B$6:$F$1025,2,0))</f>
      </c>
      <c r="E53" s="130">
        <f>IF(ISERROR(VLOOKUP($C53,'START LİSTE'!$B$6:$F$1025,4,0)),"",VLOOKUP($C53,'START LİSTE'!$B$6:$F$1025,4,0))</f>
      </c>
      <c r="F53" s="131">
        <f>IF(ISERROR(VLOOKUP($C53,'FERDİ SONUÇ'!$B$6:$H$1069,6,0)),"",VLOOKUP($C53,'FERDİ SONUÇ'!$B$6:$H$1069,6,0))</f>
      </c>
      <c r="G53" s="132" t="str">
        <f>IF(OR(E53="",F53="DQ",F53="DNF",F53="DNS",F53=""),"-",VLOOKUP(C53,'FERDİ SONUÇ'!$B$6:$H$1069,7,0))</f>
        <v>-</v>
      </c>
      <c r="H53" s="150"/>
      <c r="I53" s="150"/>
      <c r="J53" s="150"/>
      <c r="K53" s="146"/>
    </row>
    <row r="54" spans="1:11" ht="14.25">
      <c r="A54" s="119"/>
      <c r="B54" s="120"/>
      <c r="C54" s="121" t="e">
        <f>IF(A56="","",INDEX('TAKIM KAYIT'!$D$6:$D$125,MATCH(C56,'TAKIM KAYIT'!$D$6:$D$125,0)-2))</f>
        <v>#NUM!</v>
      </c>
      <c r="D54" s="122">
        <f>IF(ISERROR(VLOOKUP($C54,'START LİSTE'!$B$6:$F$1025,2,0)),"",VLOOKUP($C54,'START LİSTE'!$B$6:$F$1025,2,0))</f>
      </c>
      <c r="E54" s="123">
        <f>IF(ISERROR(VLOOKUP($C54,'START LİSTE'!$B$6:$F$1025,4,0)),"",VLOOKUP($C54,'START LİSTE'!$B$6:$F$1025,4,0))</f>
      </c>
      <c r="F54" s="124">
        <f>IF(ISERROR(VLOOKUP($C54,'FERDİ SONUÇ'!$B$6:$H$1069,6,0)),"",VLOOKUP($C54,'FERDİ SONUÇ'!$B$6:$H$1069,6,0))</f>
      </c>
      <c r="G54" s="125" t="str">
        <f>IF(OR(E54="",F54="DQ",F54="DNF",F54="DNS",F54=""),"-",VLOOKUP(C54,'FERDİ SONUÇ'!$B$6:$H$1069,7,0))</f>
        <v>-</v>
      </c>
      <c r="H54" s="149"/>
      <c r="I54" s="149"/>
      <c r="J54" s="149"/>
      <c r="K54" s="145"/>
    </row>
    <row r="55" spans="1:11" ht="14.25">
      <c r="A55" s="126"/>
      <c r="B55" s="127"/>
      <c r="C55" s="128" t="e">
        <f>IF(A56="","",INDEX('TAKIM KAYIT'!$D$6:$D$125,MATCH(C56,'TAKIM KAYIT'!$D$6:$D$125,0)-1))</f>
        <v>#NUM!</v>
      </c>
      <c r="D55" s="129">
        <f>IF(ISERROR(VLOOKUP($C55,'START LİSTE'!$B$6:$F$1025,2,0)),"",VLOOKUP($C55,'START LİSTE'!$B$6:$F$1025,2,0))</f>
      </c>
      <c r="E55" s="130">
        <f>IF(ISERROR(VLOOKUP($C55,'START LİSTE'!$B$6:$F$1025,4,0)),"",VLOOKUP($C55,'START LİSTE'!$B$6:$F$1025,4,0))</f>
      </c>
      <c r="F55" s="131">
        <f>IF(ISERROR(VLOOKUP($C55,'FERDİ SONUÇ'!$B$6:$H$1069,6,0)),"",VLOOKUP($C55,'FERDİ SONUÇ'!$B$6:$H$1069,6,0))</f>
      </c>
      <c r="G55" s="132" t="str">
        <f>IF(OR(E55="",F55="DQ",F55="DNF",F55="DNS",F55=""),"-",VLOOKUP(C55,'FERDİ SONUÇ'!$B$6:$H$1069,7,0))</f>
        <v>-</v>
      </c>
      <c r="H55" s="150"/>
      <c r="I55" s="150"/>
      <c r="J55" s="150"/>
      <c r="K55" s="146"/>
    </row>
    <row r="56" spans="1:11" ht="15.75">
      <c r="A56" s="126" t="e">
        <f>IF(ISERROR(SMALL('TAKIM KAYIT'!$A$6:$A$125,1)),"",SMALL('TAKIM KAYIT'!$A$6:$A$125,13))</f>
        <v>#NUM!</v>
      </c>
      <c r="B56" s="127" t="e">
        <f>IF(A56="","",VLOOKUP(A56,'TAKIM KAYIT'!$A$6:$O$1250,3,0))</f>
        <v>#NUM!</v>
      </c>
      <c r="C56" s="128" t="e">
        <f>IF(A56="","",VLOOKUP(A56,'TAKIM KAYIT'!$B$6:$O$125,3,FALSE))</f>
        <v>#NUM!</v>
      </c>
      <c r="D56" s="129">
        <f>IF(ISERROR(VLOOKUP($C56,'START LİSTE'!$B$6:$F$1025,2,0)),"",VLOOKUP($C56,'START LİSTE'!$B$6:$F$1025,2,0))</f>
      </c>
      <c r="E56" s="130">
        <f>IF(ISERROR(VLOOKUP($C56,'START LİSTE'!$B$6:$F$1025,4,0)),"",VLOOKUP($C56,'START LİSTE'!$B$6:$F$1025,4,0))</f>
      </c>
      <c r="F56" s="131">
        <f>IF(ISERROR(VLOOKUP($C56,'FERDİ SONUÇ'!$B$6:$H$1069,6,0)),"",VLOOKUP($C56,'FERDİ SONUÇ'!$B$6:$H$1069,6,0))</f>
      </c>
      <c r="G56" s="132" t="str">
        <f>IF(OR(E56="",F56="DQ",F56="DNF",F56="DNS",F56=""),"-",VLOOKUP(C56,'FERDİ SONUÇ'!$B$6:$H$1069,7,0))</f>
        <v>-</v>
      </c>
      <c r="H56" s="141" t="e">
        <f>IF(A56="","",VLOOKUP(A56,'TAKIM KAYIT'!$A$6:$T$1250,11,0))</f>
        <v>#NUM!</v>
      </c>
      <c r="I56" s="141" t="e">
        <f>IF(A56="","",VLOOKUP(A56,'TAKIM KAYIT'!$A$6:$T$1250,12,0))</f>
        <v>#NUM!</v>
      </c>
      <c r="J56" s="110" t="e">
        <f>IF(A56="","",VLOOKUP(A56,'TAKIM KAYIT'!$A$6:$T$1250,13,0))</f>
        <v>#NUM!</v>
      </c>
      <c r="K56" s="141" t="e">
        <f>IF(A56="","",VLOOKUP(A56,'TAKIM KAYIT'!$A$6:$T$1250,15,0))</f>
        <v>#NUM!</v>
      </c>
    </row>
    <row r="57" spans="1:11" ht="14.25">
      <c r="A57" s="126"/>
      <c r="B57" s="127"/>
      <c r="C57" s="128" t="e">
        <f>IF(A56="","",INDEX('TAKIM KAYIT'!$D$6:$D$125,MATCH(C56,'TAKIM KAYIT'!$D$6:$D$125,0)+1))</f>
        <v>#NUM!</v>
      </c>
      <c r="D57" s="129">
        <f>IF(ISERROR(VLOOKUP($C57,'START LİSTE'!$B$6:$F$1025,2,0)),"",VLOOKUP($C57,'START LİSTE'!$B$6:$F$1025,2,0))</f>
      </c>
      <c r="E57" s="130">
        <f>IF(ISERROR(VLOOKUP($C57,'START LİSTE'!$B$6:$F$1025,4,0)),"",VLOOKUP($C57,'START LİSTE'!$B$6:$F$1025,4,0))</f>
      </c>
      <c r="F57" s="131">
        <f>IF(ISERROR(VLOOKUP($C57,'FERDİ SONUÇ'!$B$6:$H$1069,6,0)),"",VLOOKUP($C57,'FERDİ SONUÇ'!$B$6:$H$1069,6,0))</f>
      </c>
      <c r="G57" s="132" t="str">
        <f>IF(OR(E57="",F57="DQ",F57="DNF",F57="DNS",F57=""),"-",VLOOKUP(C57,'FERDİ SONUÇ'!$B$6:$H$1069,7,0))</f>
        <v>-</v>
      </c>
      <c r="H57" s="150"/>
      <c r="I57" s="150"/>
      <c r="J57" s="150"/>
      <c r="K57" s="146"/>
    </row>
    <row r="58" spans="1:11" ht="14.25">
      <c r="A58" s="119"/>
      <c r="B58" s="120"/>
      <c r="C58" s="121" t="e">
        <f>IF(A60="","",INDEX('TAKIM KAYIT'!$D$6:$D$125,MATCH(C60,'TAKIM KAYIT'!$D$6:$D$125,0)-2))</f>
        <v>#NUM!</v>
      </c>
      <c r="D58" s="122">
        <f>IF(ISERROR(VLOOKUP($C58,'START LİSTE'!$B$6:$F$1025,2,0)),"",VLOOKUP($C58,'START LİSTE'!$B$6:$F$1025,2,0))</f>
      </c>
      <c r="E58" s="123">
        <f>IF(ISERROR(VLOOKUP($C58,'START LİSTE'!$B$6:$F$1025,4,0)),"",VLOOKUP($C58,'START LİSTE'!$B$6:$F$1025,4,0))</f>
      </c>
      <c r="F58" s="124">
        <f>IF(ISERROR(VLOOKUP($C58,'FERDİ SONUÇ'!$B$6:$H$1069,6,0)),"",VLOOKUP($C58,'FERDİ SONUÇ'!$B$6:$H$1069,6,0))</f>
      </c>
      <c r="G58" s="125" t="str">
        <f>IF(OR(E58="",F58="DQ",F58="DNF",F58="DNS",F58=""),"-",VLOOKUP(C58,'FERDİ SONUÇ'!$B$6:$H$1069,7,0))</f>
        <v>-</v>
      </c>
      <c r="H58" s="149"/>
      <c r="I58" s="149"/>
      <c r="J58" s="149"/>
      <c r="K58" s="145"/>
    </row>
    <row r="59" spans="1:11" ht="14.25">
      <c r="A59" s="126"/>
      <c r="B59" s="127"/>
      <c r="C59" s="128" t="e">
        <f>IF(A60="","",INDEX('TAKIM KAYIT'!$D$6:$D$125,MATCH(C60,'TAKIM KAYIT'!$D$6:$D$125,0)-1))</f>
        <v>#NUM!</v>
      </c>
      <c r="D59" s="129">
        <f>IF(ISERROR(VLOOKUP($C59,'START LİSTE'!$B$6:$F$1025,2,0)),"",VLOOKUP($C59,'START LİSTE'!$B$6:$F$1025,2,0))</f>
      </c>
      <c r="E59" s="130">
        <f>IF(ISERROR(VLOOKUP($C59,'START LİSTE'!$B$6:$F$1025,4,0)),"",VLOOKUP($C59,'START LİSTE'!$B$6:$F$1025,4,0))</f>
      </c>
      <c r="F59" s="131">
        <f>IF(ISERROR(VLOOKUP($C59,'FERDİ SONUÇ'!$B$6:$H$1069,6,0)),"",VLOOKUP($C59,'FERDİ SONUÇ'!$B$6:$H$1069,6,0))</f>
      </c>
      <c r="G59" s="132" t="str">
        <f>IF(OR(E59="",F59="DQ",F59="DNF",F59="DNS",F59=""),"-",VLOOKUP(C59,'FERDİ SONUÇ'!$B$6:$H$1069,7,0))</f>
        <v>-</v>
      </c>
      <c r="H59" s="150"/>
      <c r="I59" s="150"/>
      <c r="J59" s="150"/>
      <c r="K59" s="146"/>
    </row>
    <row r="60" spans="1:11" ht="15.75">
      <c r="A60" s="126" t="e">
        <f>IF(ISERROR(SMALL('TAKIM KAYIT'!$A$6:$A$125,1)),"",SMALL('TAKIM KAYIT'!$A$6:$A$125,14))</f>
        <v>#NUM!</v>
      </c>
      <c r="B60" s="127" t="e">
        <f>IF(A60="","",VLOOKUP(A60,'TAKIM KAYIT'!$A$6:$O$1250,3,0))</f>
        <v>#NUM!</v>
      </c>
      <c r="C60" s="128" t="e">
        <f>IF(A60="","",VLOOKUP(A60,'TAKIM KAYIT'!$B$6:$O$125,3,FALSE))</f>
        <v>#NUM!</v>
      </c>
      <c r="D60" s="129">
        <f>IF(ISERROR(VLOOKUP($C60,'START LİSTE'!$B$6:$F$1025,2,0)),"",VLOOKUP($C60,'START LİSTE'!$B$6:$F$1025,2,0))</f>
      </c>
      <c r="E60" s="130">
        <f>IF(ISERROR(VLOOKUP($C60,'START LİSTE'!$B$6:$F$1025,4,0)),"",VLOOKUP($C60,'START LİSTE'!$B$6:$F$1025,4,0))</f>
      </c>
      <c r="F60" s="131">
        <f>IF(ISERROR(VLOOKUP($C60,'FERDİ SONUÇ'!$B$6:$H$1069,6,0)),"",VLOOKUP($C60,'FERDİ SONUÇ'!$B$6:$H$1069,6,0))</f>
      </c>
      <c r="G60" s="132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10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>
      <c r="A61" s="126"/>
      <c r="B61" s="127"/>
      <c r="C61" s="128" t="e">
        <f>IF(A60="","",INDEX('TAKIM KAYIT'!$D$6:$D$125,MATCH(C60,'TAKIM KAYIT'!$D$6:$D$125,0)+1))</f>
        <v>#NUM!</v>
      </c>
      <c r="D61" s="129">
        <f>IF(ISERROR(VLOOKUP($C61,'START LİSTE'!$B$6:$F$1025,2,0)),"",VLOOKUP($C61,'START LİSTE'!$B$6:$F$1025,2,0))</f>
      </c>
      <c r="E61" s="130">
        <f>IF(ISERROR(VLOOKUP($C61,'START LİSTE'!$B$6:$F$1025,4,0)),"",VLOOKUP($C61,'START LİSTE'!$B$6:$F$1025,4,0))</f>
      </c>
      <c r="F61" s="131">
        <f>IF(ISERROR(VLOOKUP($C61,'FERDİ SONUÇ'!$B$6:$H$1069,6,0)),"",VLOOKUP($C61,'FERDİ SONUÇ'!$B$6:$H$1069,6,0))</f>
      </c>
      <c r="G61" s="132" t="str">
        <f>IF(OR(E61="",F61="DQ",F61="DNF",F61="DNS",F61=""),"-",VLOOKUP(C61,'FERDİ SONUÇ'!$B$6:$H$1069,7,0))</f>
        <v>-</v>
      </c>
      <c r="H61" s="150"/>
      <c r="I61" s="150"/>
      <c r="J61" s="150"/>
      <c r="K61" s="146"/>
    </row>
    <row r="62" spans="1:11" ht="14.25">
      <c r="A62" s="119"/>
      <c r="B62" s="120"/>
      <c r="C62" s="121" t="e">
        <f>IF(A64="","",INDEX('TAKIM KAYIT'!$D$6:$D$125,MATCH(C64,'TAKIM KAYIT'!$D$6:$D$125,0)-2))</f>
        <v>#NUM!</v>
      </c>
      <c r="D62" s="122">
        <f>IF(ISERROR(VLOOKUP($C62,'START LİSTE'!$B$6:$F$1025,2,0)),"",VLOOKUP($C62,'START LİSTE'!$B$6:$F$1025,2,0))</f>
      </c>
      <c r="E62" s="123">
        <f>IF(ISERROR(VLOOKUP($C62,'START LİSTE'!$B$6:$F$1025,4,0)),"",VLOOKUP($C62,'START LİSTE'!$B$6:$F$1025,4,0))</f>
      </c>
      <c r="F62" s="124">
        <f>IF(ISERROR(VLOOKUP($C62,'FERDİ SONUÇ'!$B$6:$H$1069,6,0)),"",VLOOKUP($C62,'FERDİ SONUÇ'!$B$6:$H$1069,6,0))</f>
      </c>
      <c r="G62" s="125" t="str">
        <f>IF(OR(E62="",F62="DQ",F62="DNF",F62="DNS",F62=""),"-",VLOOKUP(C62,'FERDİ SONUÇ'!$B$6:$H$1069,7,0))</f>
        <v>-</v>
      </c>
      <c r="H62" s="149"/>
      <c r="I62" s="149"/>
      <c r="J62" s="149"/>
      <c r="K62" s="145"/>
    </row>
    <row r="63" spans="1:11" ht="14.25">
      <c r="A63" s="126"/>
      <c r="B63" s="127"/>
      <c r="C63" s="128" t="e">
        <f>IF(A64="","",INDEX('TAKIM KAYIT'!$D$6:$D$125,MATCH(C64,'TAKIM KAYIT'!$D$6:$D$125,0)-1))</f>
        <v>#NUM!</v>
      </c>
      <c r="D63" s="129">
        <f>IF(ISERROR(VLOOKUP($C63,'START LİSTE'!$B$6:$F$1025,2,0)),"",VLOOKUP($C63,'START LİSTE'!$B$6:$F$1025,2,0))</f>
      </c>
      <c r="E63" s="130">
        <f>IF(ISERROR(VLOOKUP($C63,'START LİSTE'!$B$6:$F$1025,4,0)),"",VLOOKUP($C63,'START LİSTE'!$B$6:$F$1025,4,0))</f>
      </c>
      <c r="F63" s="131">
        <f>IF(ISERROR(VLOOKUP($C63,'FERDİ SONUÇ'!$B$6:$H$1069,6,0)),"",VLOOKUP($C63,'FERDİ SONUÇ'!$B$6:$H$1069,6,0))</f>
      </c>
      <c r="G63" s="132" t="str">
        <f>IF(OR(E63="",F63="DQ",F63="DNF",F63="DNS",F63=""),"-",VLOOKUP(C63,'FERDİ SONUÇ'!$B$6:$H$1069,7,0))</f>
        <v>-</v>
      </c>
      <c r="H63" s="150"/>
      <c r="I63" s="150"/>
      <c r="J63" s="150"/>
      <c r="K63" s="146"/>
    </row>
    <row r="64" spans="1:11" ht="15.75">
      <c r="A64" s="126" t="e">
        <f>IF(ISERROR(SMALL('TAKIM KAYIT'!$A$6:$A$125,1)),"",SMALL('TAKIM KAYIT'!$A$6:$A$125,15))</f>
        <v>#NUM!</v>
      </c>
      <c r="B64" s="127" t="e">
        <f>IF(A64="","",VLOOKUP(A64,'TAKIM KAYIT'!$A$6:$O$1250,3,0))</f>
        <v>#NUM!</v>
      </c>
      <c r="C64" s="128" t="e">
        <f>IF(A64="","",VLOOKUP(A64,'TAKIM KAYIT'!$B$6:$O$125,3,FALSE))</f>
        <v>#NUM!</v>
      </c>
      <c r="D64" s="129">
        <f>IF(ISERROR(VLOOKUP($C64,'START LİSTE'!$B$6:$F$1025,2,0)),"",VLOOKUP($C64,'START LİSTE'!$B$6:$F$1025,2,0))</f>
      </c>
      <c r="E64" s="130">
        <f>IF(ISERROR(VLOOKUP($C64,'START LİSTE'!$B$6:$F$1025,4,0)),"",VLOOKUP($C64,'START LİSTE'!$B$6:$F$1025,4,0))</f>
      </c>
      <c r="F64" s="131">
        <f>IF(ISERROR(VLOOKUP($C64,'FERDİ SONUÇ'!$B$6:$H$1069,6,0)),"",VLOOKUP($C64,'FERDİ SONUÇ'!$B$6:$H$1069,6,0))</f>
      </c>
      <c r="G64" s="132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10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>
      <c r="A65" s="126"/>
      <c r="B65" s="127"/>
      <c r="C65" s="128" t="e">
        <f>IF(A64="","",INDEX('TAKIM KAYIT'!$D$6:$D$125,MATCH(C64,'TAKIM KAYIT'!$D$6:$D$125,0)+1))</f>
        <v>#NUM!</v>
      </c>
      <c r="D65" s="129">
        <f>IF(ISERROR(VLOOKUP($C65,'START LİSTE'!$B$6:$F$1025,2,0)),"",VLOOKUP($C65,'START LİSTE'!$B$6:$F$1025,2,0))</f>
      </c>
      <c r="E65" s="130">
        <f>IF(ISERROR(VLOOKUP($C65,'START LİSTE'!$B$6:$F$1025,4,0)),"",VLOOKUP($C65,'START LİSTE'!$B$6:$F$1025,4,0))</f>
      </c>
      <c r="F65" s="131">
        <f>IF(ISERROR(VLOOKUP($C65,'FERDİ SONUÇ'!$B$6:$H$1069,6,0)),"",VLOOKUP($C65,'FERDİ SONUÇ'!$B$6:$H$1069,6,0))</f>
      </c>
      <c r="G65" s="132" t="str">
        <f>IF(OR(E65="",F65="DQ",F65="DNF",F65="DNS",F65=""),"-",VLOOKUP(C65,'FERDİ SONUÇ'!$B$6:$H$1069,7,0))</f>
        <v>-</v>
      </c>
      <c r="H65" s="150"/>
      <c r="I65" s="150"/>
      <c r="J65" s="150"/>
      <c r="K65" s="146"/>
    </row>
    <row r="66" spans="1:11" ht="14.25">
      <c r="A66" s="119"/>
      <c r="B66" s="120"/>
      <c r="C66" s="121" t="e">
        <f>IF(A68="","",INDEX('TAKIM KAYIT'!$D$6:$D$125,MATCH(C68,'TAKIM KAYIT'!$D$6:$D$125,0)-2))</f>
        <v>#NUM!</v>
      </c>
      <c r="D66" s="122">
        <f>IF(ISERROR(VLOOKUP($C66,'START LİSTE'!$B$6:$F$1025,2,0)),"",VLOOKUP($C66,'START LİSTE'!$B$6:$F$1025,2,0))</f>
      </c>
      <c r="E66" s="123">
        <f>IF(ISERROR(VLOOKUP($C66,'START LİSTE'!$B$6:$F$1025,4,0)),"",VLOOKUP($C66,'START LİSTE'!$B$6:$F$1025,4,0))</f>
      </c>
      <c r="F66" s="124">
        <f>IF(ISERROR(VLOOKUP($C66,'FERDİ SONUÇ'!$B$6:$H$1069,6,0)),"",VLOOKUP($C66,'FERDİ SONUÇ'!$B$6:$H$1069,6,0))</f>
      </c>
      <c r="G66" s="125" t="str">
        <f>IF(OR(E66="",F66="DQ",F66="DNF",F66="DNS",F66=""),"-",VLOOKUP(C66,'FERDİ SONUÇ'!$B$6:$H$1069,7,0))</f>
        <v>-</v>
      </c>
      <c r="H66" s="149"/>
      <c r="I66" s="149"/>
      <c r="J66" s="149"/>
      <c r="K66" s="145"/>
    </row>
    <row r="67" spans="1:11" ht="14.25">
      <c r="A67" s="126"/>
      <c r="B67" s="127"/>
      <c r="C67" s="128" t="e">
        <f>IF(A68="","",INDEX('TAKIM KAYIT'!$D$6:$D$125,MATCH(C68,'TAKIM KAYIT'!$D$6:$D$125,0)-1))</f>
        <v>#NUM!</v>
      </c>
      <c r="D67" s="129">
        <f>IF(ISERROR(VLOOKUP($C67,'START LİSTE'!$B$6:$F$1025,2,0)),"",VLOOKUP($C67,'START LİSTE'!$B$6:$F$1025,2,0))</f>
      </c>
      <c r="E67" s="130">
        <f>IF(ISERROR(VLOOKUP($C67,'START LİSTE'!$B$6:$F$1025,4,0)),"",VLOOKUP($C67,'START LİSTE'!$B$6:$F$1025,4,0))</f>
      </c>
      <c r="F67" s="131">
        <f>IF(ISERROR(VLOOKUP($C67,'FERDİ SONUÇ'!$B$6:$H$1069,6,0)),"",VLOOKUP($C67,'FERDİ SONUÇ'!$B$6:$H$1069,6,0))</f>
      </c>
      <c r="G67" s="132" t="str">
        <f>IF(OR(E67="",F67="DQ",F67="DNF",F67="DNS",F67=""),"-",VLOOKUP(C67,'FERDİ SONUÇ'!$B$6:$H$1069,7,0))</f>
        <v>-</v>
      </c>
      <c r="H67" s="150"/>
      <c r="I67" s="150"/>
      <c r="J67" s="150"/>
      <c r="K67" s="146"/>
    </row>
    <row r="68" spans="1:11" ht="15.75">
      <c r="A68" s="126" t="e">
        <f>IF(ISERROR(SMALL('TAKIM KAYIT'!$A$6:$A$125,1)),"",SMALL('TAKIM KAYIT'!$A$6:$A$125,16))</f>
        <v>#NUM!</v>
      </c>
      <c r="B68" s="127" t="e">
        <f>IF(A68="","",VLOOKUP(A68,'TAKIM KAYIT'!$A$6:$O$1250,3,0))</f>
        <v>#NUM!</v>
      </c>
      <c r="C68" s="128" t="e">
        <f>IF(A68="","",VLOOKUP(A68,'TAKIM KAYIT'!$B$6:$O$125,3,FALSE))</f>
        <v>#NUM!</v>
      </c>
      <c r="D68" s="129">
        <f>IF(ISERROR(VLOOKUP($C68,'START LİSTE'!$B$6:$F$1025,2,0)),"",VLOOKUP($C68,'START LİSTE'!$B$6:$F$1025,2,0))</f>
      </c>
      <c r="E68" s="130">
        <f>IF(ISERROR(VLOOKUP($C68,'START LİSTE'!$B$6:$F$1025,4,0)),"",VLOOKUP($C68,'START LİSTE'!$B$6:$F$1025,4,0))</f>
      </c>
      <c r="F68" s="131">
        <f>IF(ISERROR(VLOOKUP($C68,'FERDİ SONUÇ'!$B$6:$H$1069,6,0)),"",VLOOKUP($C68,'FERDİ SONUÇ'!$B$6:$H$1069,6,0))</f>
      </c>
      <c r="G68" s="132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10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>
      <c r="A69" s="126"/>
      <c r="B69" s="127"/>
      <c r="C69" s="128" t="e">
        <f>IF(A68="","",INDEX('TAKIM KAYIT'!$D$6:$D$125,MATCH(C68,'TAKIM KAYIT'!$D$6:$D$125,0)+1))</f>
        <v>#NUM!</v>
      </c>
      <c r="D69" s="129">
        <f>IF(ISERROR(VLOOKUP($C69,'START LİSTE'!$B$6:$F$1025,2,0)),"",VLOOKUP($C69,'START LİSTE'!$B$6:$F$1025,2,0))</f>
      </c>
      <c r="E69" s="130">
        <f>IF(ISERROR(VLOOKUP($C69,'START LİSTE'!$B$6:$F$1025,4,0)),"",VLOOKUP($C69,'START LİSTE'!$B$6:$F$1025,4,0))</f>
      </c>
      <c r="F69" s="131">
        <f>IF(ISERROR(VLOOKUP($C69,'FERDİ SONUÇ'!$B$6:$H$1069,6,0)),"",VLOOKUP($C69,'FERDİ SONUÇ'!$B$6:$H$1069,6,0))</f>
      </c>
      <c r="G69" s="132" t="str">
        <f>IF(OR(E69="",F69="DQ",F69="DNF",F69="DNS",F69=""),"-",VLOOKUP(C69,'FERDİ SONUÇ'!$B$6:$H$1069,7,0))</f>
        <v>-</v>
      </c>
      <c r="H69" s="150"/>
      <c r="I69" s="150"/>
      <c r="J69" s="150"/>
      <c r="K69" s="146"/>
    </row>
    <row r="70" spans="1:11" ht="14.25">
      <c r="A70" s="119"/>
      <c r="B70" s="120"/>
      <c r="C70" s="121" t="e">
        <f>IF(A72="","",INDEX('TAKIM KAYIT'!$D$6:$D$125,MATCH(C72,'TAKIM KAYIT'!$D$6:$D$125,0)-2))</f>
        <v>#NUM!</v>
      </c>
      <c r="D70" s="122">
        <f>IF(ISERROR(VLOOKUP($C70,'START LİSTE'!$B$6:$F$1025,2,0)),"",VLOOKUP($C70,'START LİSTE'!$B$6:$F$1025,2,0))</f>
      </c>
      <c r="E70" s="123">
        <f>IF(ISERROR(VLOOKUP($C70,'START LİSTE'!$B$6:$F$1025,4,0)),"",VLOOKUP($C70,'START LİSTE'!$B$6:$F$1025,4,0))</f>
      </c>
      <c r="F70" s="124">
        <f>IF(ISERROR(VLOOKUP($C70,'FERDİ SONUÇ'!$B$6:$H$1069,6,0)),"",VLOOKUP($C70,'FERDİ SONUÇ'!$B$6:$H$1069,6,0))</f>
      </c>
      <c r="G70" s="125" t="str">
        <f>IF(OR(E70="",F70="DQ",F70="DNF",F70="DNS",F70=""),"-",VLOOKUP(C70,'FERDİ SONUÇ'!$B$6:$H$1069,7,0))</f>
        <v>-</v>
      </c>
      <c r="H70" s="149"/>
      <c r="I70" s="149"/>
      <c r="J70" s="149"/>
      <c r="K70" s="145"/>
    </row>
    <row r="71" spans="1:11" ht="14.25">
      <c r="A71" s="126"/>
      <c r="B71" s="127"/>
      <c r="C71" s="128" t="e">
        <f>IF(A72="","",INDEX('TAKIM KAYIT'!$D$6:$D$125,MATCH(C72,'TAKIM KAYIT'!$D$6:$D$125,0)-1))</f>
        <v>#NUM!</v>
      </c>
      <c r="D71" s="129">
        <f>IF(ISERROR(VLOOKUP($C71,'START LİSTE'!$B$6:$F$1025,2,0)),"",VLOOKUP($C71,'START LİSTE'!$B$6:$F$1025,2,0))</f>
      </c>
      <c r="E71" s="130">
        <f>IF(ISERROR(VLOOKUP($C71,'START LİSTE'!$B$6:$F$1025,4,0)),"",VLOOKUP($C71,'START LİSTE'!$B$6:$F$1025,4,0))</f>
      </c>
      <c r="F71" s="131">
        <f>IF(ISERROR(VLOOKUP($C71,'FERDİ SONUÇ'!$B$6:$H$1069,6,0)),"",VLOOKUP($C71,'FERDİ SONUÇ'!$B$6:$H$1069,6,0))</f>
      </c>
      <c r="G71" s="132" t="str">
        <f>IF(OR(E71="",F71="DQ",F71="DNF",F71="DNS",F71=""),"-",VLOOKUP(C71,'FERDİ SONUÇ'!$B$6:$H$1069,7,0))</f>
        <v>-</v>
      </c>
      <c r="H71" s="150"/>
      <c r="I71" s="150"/>
      <c r="J71" s="150"/>
      <c r="K71" s="146"/>
    </row>
    <row r="72" spans="1:11" ht="15.75">
      <c r="A72" s="126" t="e">
        <f>IF(ISERROR(SMALL('TAKIM KAYIT'!$A$6:$A$125,1)),"",SMALL('TAKIM KAYIT'!$A$6:$A$125,17))</f>
        <v>#NUM!</v>
      </c>
      <c r="B72" s="127" t="e">
        <f>IF(A72="","",VLOOKUP(A72,'TAKIM KAYIT'!$A$6:$O$1250,3,0))</f>
        <v>#NUM!</v>
      </c>
      <c r="C72" s="128" t="e">
        <f>IF(A72="","",VLOOKUP(A72,'TAKIM KAYIT'!$B$6:$O$125,3,FALSE))</f>
        <v>#NUM!</v>
      </c>
      <c r="D72" s="129">
        <f>IF(ISERROR(VLOOKUP($C72,'START LİSTE'!$B$6:$F$1025,2,0)),"",VLOOKUP($C72,'START LİSTE'!$B$6:$F$1025,2,0))</f>
      </c>
      <c r="E72" s="130">
        <f>IF(ISERROR(VLOOKUP($C72,'START LİSTE'!$B$6:$F$1025,4,0)),"",VLOOKUP($C72,'START LİSTE'!$B$6:$F$1025,4,0))</f>
      </c>
      <c r="F72" s="131">
        <f>IF(ISERROR(VLOOKUP($C72,'FERDİ SONUÇ'!$B$6:$H$1069,6,0)),"",VLOOKUP($C72,'FERDİ SONUÇ'!$B$6:$H$1069,6,0))</f>
      </c>
      <c r="G72" s="132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10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>
      <c r="A73" s="126"/>
      <c r="B73" s="127"/>
      <c r="C73" s="128" t="e">
        <f>IF(A72="","",INDEX('TAKIM KAYIT'!$D$6:$D$125,MATCH(C72,'TAKIM KAYIT'!$D$6:$D$125,0)+1))</f>
        <v>#NUM!</v>
      </c>
      <c r="D73" s="129">
        <f>IF(ISERROR(VLOOKUP($C73,'START LİSTE'!$B$6:$F$1025,2,0)),"",VLOOKUP($C73,'START LİSTE'!$B$6:$F$1025,2,0))</f>
      </c>
      <c r="E73" s="130">
        <f>IF(ISERROR(VLOOKUP($C73,'START LİSTE'!$B$6:$F$1025,4,0)),"",VLOOKUP($C73,'START LİSTE'!$B$6:$F$1025,4,0))</f>
      </c>
      <c r="F73" s="131">
        <f>IF(ISERROR(VLOOKUP($C73,'FERDİ SONUÇ'!$B$6:$H$1069,6,0)),"",VLOOKUP($C73,'FERDİ SONUÇ'!$B$6:$H$1069,6,0))</f>
      </c>
      <c r="G73" s="132" t="str">
        <f>IF(OR(E73="",F73="DQ",F73="DNF",F73="DNS",F73=""),"-",VLOOKUP(C73,'FERDİ SONUÇ'!$B$6:$H$1069,7,0))</f>
        <v>-</v>
      </c>
      <c r="H73" s="150"/>
      <c r="I73" s="150"/>
      <c r="J73" s="150"/>
      <c r="K73" s="146"/>
    </row>
    <row r="74" spans="1:11" ht="14.25">
      <c r="A74" s="119"/>
      <c r="B74" s="120"/>
      <c r="C74" s="121" t="e">
        <f>IF(A76="","",INDEX('TAKIM KAYIT'!$D$6:$D$125,MATCH(C76,'TAKIM KAYIT'!$D$6:$D$125,0)-2))</f>
        <v>#NUM!</v>
      </c>
      <c r="D74" s="122">
        <f>IF(ISERROR(VLOOKUP($C74,'START LİSTE'!$B$6:$F$1025,2,0)),"",VLOOKUP($C74,'START LİSTE'!$B$6:$F$1025,2,0))</f>
      </c>
      <c r="E74" s="123">
        <f>IF(ISERROR(VLOOKUP($C74,'START LİSTE'!$B$6:$F$1025,4,0)),"",VLOOKUP($C74,'START LİSTE'!$B$6:$F$1025,4,0))</f>
      </c>
      <c r="F74" s="124">
        <f>IF(ISERROR(VLOOKUP($C74,'FERDİ SONUÇ'!$B$6:$H$1069,6,0)),"",VLOOKUP($C74,'FERDİ SONUÇ'!$B$6:$H$1069,6,0))</f>
      </c>
      <c r="G74" s="125" t="str">
        <f>IF(OR(E74="",F74="DQ",F74="DNF",F74="DNS",F74=""),"-",VLOOKUP(C74,'FERDİ SONUÇ'!$B$6:$H$1069,7,0))</f>
        <v>-</v>
      </c>
      <c r="H74" s="149"/>
      <c r="I74" s="149"/>
      <c r="J74" s="149"/>
      <c r="K74" s="145"/>
    </row>
    <row r="75" spans="1:11" ht="14.25">
      <c r="A75" s="126"/>
      <c r="B75" s="127"/>
      <c r="C75" s="128" t="e">
        <f>IF(A76="","",INDEX('TAKIM KAYIT'!$D$6:$D$125,MATCH(C76,'TAKIM KAYIT'!$D$6:$D$125,0)-1))</f>
        <v>#NUM!</v>
      </c>
      <c r="D75" s="129">
        <f>IF(ISERROR(VLOOKUP($C75,'START LİSTE'!$B$6:$F$1025,2,0)),"",VLOOKUP($C75,'START LİSTE'!$B$6:$F$1025,2,0))</f>
      </c>
      <c r="E75" s="130">
        <f>IF(ISERROR(VLOOKUP($C75,'START LİSTE'!$B$6:$F$1025,4,0)),"",VLOOKUP($C75,'START LİSTE'!$B$6:$F$1025,4,0))</f>
      </c>
      <c r="F75" s="131">
        <f>IF(ISERROR(VLOOKUP($C75,'FERDİ SONUÇ'!$B$6:$H$1069,6,0)),"",VLOOKUP($C75,'FERDİ SONUÇ'!$B$6:$H$1069,6,0))</f>
      </c>
      <c r="G75" s="132" t="str">
        <f>IF(OR(E75="",F75="DQ",F75="DNF",F75="DNS",F75=""),"-",VLOOKUP(C75,'FERDİ SONUÇ'!$B$6:$H$1069,7,0))</f>
        <v>-</v>
      </c>
      <c r="H75" s="150"/>
      <c r="I75" s="150"/>
      <c r="J75" s="150"/>
      <c r="K75" s="146"/>
    </row>
    <row r="76" spans="1:11" ht="15.75">
      <c r="A76" s="126" t="e">
        <f>IF(ISERROR(SMALL('TAKIM KAYIT'!$A$6:$A$125,1)),"",SMALL('TAKIM KAYIT'!$A$6:$A$125,18))</f>
        <v>#NUM!</v>
      </c>
      <c r="B76" s="127" t="e">
        <f>IF(A76="","",VLOOKUP(A76,'TAKIM KAYIT'!$A$6:$O$1250,3,0))</f>
        <v>#NUM!</v>
      </c>
      <c r="C76" s="128" t="e">
        <f>IF(A76="","",VLOOKUP(A76,'TAKIM KAYIT'!$B$6:$O$125,3,FALSE))</f>
        <v>#NUM!</v>
      </c>
      <c r="D76" s="129">
        <f>IF(ISERROR(VLOOKUP($C76,'START LİSTE'!$B$6:$F$1025,2,0)),"",VLOOKUP($C76,'START LİSTE'!$B$6:$F$1025,2,0))</f>
      </c>
      <c r="E76" s="130">
        <f>IF(ISERROR(VLOOKUP($C76,'START LİSTE'!$B$6:$F$1025,4,0)),"",VLOOKUP($C76,'START LİSTE'!$B$6:$F$1025,4,0))</f>
      </c>
      <c r="F76" s="131">
        <f>IF(ISERROR(VLOOKUP($C76,'FERDİ SONUÇ'!$B$6:$H$1069,6,0)),"",VLOOKUP($C76,'FERDİ SONUÇ'!$B$6:$H$1069,6,0))</f>
      </c>
      <c r="G76" s="132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10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>
      <c r="A77" s="126"/>
      <c r="B77" s="127"/>
      <c r="C77" s="128" t="e">
        <f>IF(A76="","",INDEX('TAKIM KAYIT'!$D$6:$D$125,MATCH(C76,'TAKIM KAYIT'!$D$6:$D$125,0)+1))</f>
        <v>#NUM!</v>
      </c>
      <c r="D77" s="129">
        <f>IF(ISERROR(VLOOKUP($C77,'START LİSTE'!$B$6:$F$1025,2,0)),"",VLOOKUP($C77,'START LİSTE'!$B$6:$F$1025,2,0))</f>
      </c>
      <c r="E77" s="130">
        <f>IF(ISERROR(VLOOKUP($C77,'START LİSTE'!$B$6:$F$1025,4,0)),"",VLOOKUP($C77,'START LİSTE'!$B$6:$F$1025,4,0))</f>
      </c>
      <c r="F77" s="131">
        <f>IF(ISERROR(VLOOKUP($C77,'FERDİ SONUÇ'!$B$6:$H$1069,6,0)),"",VLOOKUP($C77,'FERDİ SONUÇ'!$B$6:$H$1069,6,0))</f>
      </c>
      <c r="G77" s="132" t="str">
        <f>IF(OR(E77="",F77="DQ",F77="DNF",F77="DNS",F77=""),"-",VLOOKUP(C77,'FERDİ SONUÇ'!$B$6:$H$1069,7,0))</f>
        <v>-</v>
      </c>
      <c r="H77" s="150"/>
      <c r="I77" s="150"/>
      <c r="J77" s="150"/>
      <c r="K77" s="146"/>
    </row>
    <row r="78" spans="1:11" ht="14.25">
      <c r="A78" s="119"/>
      <c r="B78" s="120"/>
      <c r="C78" s="121" t="e">
        <f>IF(A80="","",INDEX('TAKIM KAYIT'!$D$6:$D$125,MATCH(C80,'TAKIM KAYIT'!$D$6:$D$125,0)-2))</f>
        <v>#NUM!</v>
      </c>
      <c r="D78" s="122">
        <f>IF(ISERROR(VLOOKUP($C78,'START LİSTE'!$B$6:$F$1025,2,0)),"",VLOOKUP($C78,'START LİSTE'!$B$6:$F$1025,2,0))</f>
      </c>
      <c r="E78" s="123">
        <f>IF(ISERROR(VLOOKUP($C78,'START LİSTE'!$B$6:$F$1025,4,0)),"",VLOOKUP($C78,'START LİSTE'!$B$6:$F$1025,4,0))</f>
      </c>
      <c r="F78" s="124">
        <f>IF(ISERROR(VLOOKUP($C78,'FERDİ SONUÇ'!$B$6:$H$1069,6,0)),"",VLOOKUP($C78,'FERDİ SONUÇ'!$B$6:$H$1069,6,0))</f>
      </c>
      <c r="G78" s="125" t="str">
        <f>IF(OR(E78="",F78="DQ",F78="DNF",F78="DNS",F78=""),"-",VLOOKUP(C78,'FERDİ SONUÇ'!$B$6:$H$1069,7,0))</f>
        <v>-</v>
      </c>
      <c r="H78" s="149"/>
      <c r="I78" s="149"/>
      <c r="J78" s="149"/>
      <c r="K78" s="145"/>
    </row>
    <row r="79" spans="1:11" ht="14.25">
      <c r="A79" s="126"/>
      <c r="B79" s="127"/>
      <c r="C79" s="128" t="e">
        <f>IF(A80="","",INDEX('TAKIM KAYIT'!$D$6:$D$125,MATCH(C80,'TAKIM KAYIT'!$D$6:$D$125,0)-1))</f>
        <v>#NUM!</v>
      </c>
      <c r="D79" s="129">
        <f>IF(ISERROR(VLOOKUP($C79,'START LİSTE'!$B$6:$F$1025,2,0)),"",VLOOKUP($C79,'START LİSTE'!$B$6:$F$1025,2,0))</f>
      </c>
      <c r="E79" s="130">
        <f>IF(ISERROR(VLOOKUP($C79,'START LİSTE'!$B$6:$F$1025,4,0)),"",VLOOKUP($C79,'START LİSTE'!$B$6:$F$1025,4,0))</f>
      </c>
      <c r="F79" s="131">
        <f>IF(ISERROR(VLOOKUP($C79,'FERDİ SONUÇ'!$B$6:$H$1069,6,0)),"",VLOOKUP($C79,'FERDİ SONUÇ'!$B$6:$H$1069,6,0))</f>
      </c>
      <c r="G79" s="132" t="str">
        <f>IF(OR(E79="",F79="DQ",F79="DNF",F79="DNS",F79=""),"-",VLOOKUP(C79,'FERDİ SONUÇ'!$B$6:$H$1069,7,0))</f>
        <v>-</v>
      </c>
      <c r="H79" s="150"/>
      <c r="I79" s="150"/>
      <c r="J79" s="150"/>
      <c r="K79" s="146"/>
    </row>
    <row r="80" spans="1:11" ht="15.75">
      <c r="A80" s="126" t="e">
        <f>IF(ISERROR(SMALL('TAKIM KAYIT'!$A$6:$A$125,1)),"",SMALL('TAKIM KAYIT'!$A$6:$A$125,19))</f>
        <v>#NUM!</v>
      </c>
      <c r="B80" s="127" t="e">
        <f>IF(A80="","",VLOOKUP(A80,'TAKIM KAYIT'!$A$6:$O$1250,3,0))</f>
        <v>#NUM!</v>
      </c>
      <c r="C80" s="128" t="e">
        <f>IF(A80="","",VLOOKUP(A80,'TAKIM KAYIT'!$B$6:$O$125,3,FALSE))</f>
        <v>#NUM!</v>
      </c>
      <c r="D80" s="129">
        <f>IF(ISERROR(VLOOKUP($C80,'START LİSTE'!$B$6:$F$1025,2,0)),"",VLOOKUP($C80,'START LİSTE'!$B$6:$F$1025,2,0))</f>
      </c>
      <c r="E80" s="130">
        <f>IF(ISERROR(VLOOKUP($C80,'START LİSTE'!$B$6:$F$1025,4,0)),"",VLOOKUP($C80,'START LİSTE'!$B$6:$F$1025,4,0))</f>
      </c>
      <c r="F80" s="131">
        <f>IF(ISERROR(VLOOKUP($C80,'FERDİ SONUÇ'!$B$6:$H$1069,6,0)),"",VLOOKUP($C80,'FERDİ SONUÇ'!$B$6:$H$1069,6,0))</f>
      </c>
      <c r="G80" s="132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10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>
      <c r="A81" s="126"/>
      <c r="B81" s="127"/>
      <c r="C81" s="128" t="e">
        <f>IF(A80="","",INDEX('TAKIM KAYIT'!$D$6:$D$125,MATCH(C80,'TAKIM KAYIT'!$D$6:$D$125,0)+1))</f>
        <v>#NUM!</v>
      </c>
      <c r="D81" s="129">
        <f>IF(ISERROR(VLOOKUP($C81,'START LİSTE'!$B$6:$F$1025,2,0)),"",VLOOKUP($C81,'START LİSTE'!$B$6:$F$1025,2,0))</f>
      </c>
      <c r="E81" s="130">
        <f>IF(ISERROR(VLOOKUP($C81,'START LİSTE'!$B$6:$F$1025,4,0)),"",VLOOKUP($C81,'START LİSTE'!$B$6:$F$1025,4,0))</f>
      </c>
      <c r="F81" s="131">
        <f>IF(ISERROR(VLOOKUP($C81,'FERDİ SONUÇ'!$B$6:$H$1069,6,0)),"",VLOOKUP($C81,'FERDİ SONUÇ'!$B$6:$H$1069,6,0))</f>
      </c>
      <c r="G81" s="132" t="str">
        <f>IF(OR(E81="",F81="DQ",F81="DNF",F81="DNS",F81=""),"-",VLOOKUP(C81,'FERDİ SONUÇ'!$B$6:$H$1069,7,0))</f>
        <v>-</v>
      </c>
      <c r="H81" s="150"/>
      <c r="I81" s="150"/>
      <c r="J81" s="150"/>
      <c r="K81" s="146"/>
    </row>
    <row r="82" spans="1:11" ht="14.25">
      <c r="A82" s="119"/>
      <c r="B82" s="120"/>
      <c r="C82" s="121" t="e">
        <f>IF(A84="","",INDEX('TAKIM KAYIT'!$D$6:$D$125,MATCH(C84,'TAKIM KAYIT'!$D$6:$D$125,0)-2))</f>
        <v>#NUM!</v>
      </c>
      <c r="D82" s="122">
        <f>IF(ISERROR(VLOOKUP($C82,'START LİSTE'!$B$6:$F$1025,2,0)),"",VLOOKUP($C82,'START LİSTE'!$B$6:$F$1025,2,0))</f>
      </c>
      <c r="E82" s="123">
        <f>IF(ISERROR(VLOOKUP($C82,'START LİSTE'!$B$6:$F$1025,4,0)),"",VLOOKUP($C82,'START LİSTE'!$B$6:$F$1025,4,0))</f>
      </c>
      <c r="F82" s="124">
        <f>IF(ISERROR(VLOOKUP($C82,'FERDİ SONUÇ'!$B$6:$H$1069,6,0)),"",VLOOKUP($C82,'FERDİ SONUÇ'!$B$6:$H$1069,6,0))</f>
      </c>
      <c r="G82" s="125" t="str">
        <f>IF(OR(E82="",F82="DQ",F82="DNF",F82="DNS",F82=""),"-",VLOOKUP(C82,'FERDİ SONUÇ'!$B$6:$H$1069,7,0))</f>
        <v>-</v>
      </c>
      <c r="H82" s="149"/>
      <c r="I82" s="149"/>
      <c r="J82" s="149"/>
      <c r="K82" s="145"/>
    </row>
    <row r="83" spans="1:11" ht="14.25">
      <c r="A83" s="126"/>
      <c r="B83" s="127"/>
      <c r="C83" s="128" t="e">
        <f>IF(A84="","",INDEX('TAKIM KAYIT'!$D$6:$D$125,MATCH(C84,'TAKIM KAYIT'!$D$6:$D$125,0)-1))</f>
        <v>#NUM!</v>
      </c>
      <c r="D83" s="129">
        <f>IF(ISERROR(VLOOKUP($C83,'START LİSTE'!$B$6:$F$1025,2,0)),"",VLOOKUP($C83,'START LİSTE'!$B$6:$F$1025,2,0))</f>
      </c>
      <c r="E83" s="130">
        <f>IF(ISERROR(VLOOKUP($C83,'START LİSTE'!$B$6:$F$1025,4,0)),"",VLOOKUP($C83,'START LİSTE'!$B$6:$F$1025,4,0))</f>
      </c>
      <c r="F83" s="131">
        <f>IF(ISERROR(VLOOKUP($C83,'FERDİ SONUÇ'!$B$6:$H$1069,6,0)),"",VLOOKUP($C83,'FERDİ SONUÇ'!$B$6:$H$1069,6,0))</f>
      </c>
      <c r="G83" s="132" t="str">
        <f>IF(OR(E83="",F83="DQ",F83="DNF",F83="DNS",F83=""),"-",VLOOKUP(C83,'FERDİ SONUÇ'!$B$6:$H$1069,7,0))</f>
        <v>-</v>
      </c>
      <c r="H83" s="150"/>
      <c r="I83" s="150"/>
      <c r="J83" s="150"/>
      <c r="K83" s="146"/>
    </row>
    <row r="84" spans="1:11" ht="15.75">
      <c r="A84" s="126" t="e">
        <f>IF(ISERROR(SMALL('TAKIM KAYIT'!$A$6:$A$125,1)),"",SMALL('TAKIM KAYIT'!$A$6:$A$125,20))</f>
        <v>#NUM!</v>
      </c>
      <c r="B84" s="127" t="e">
        <f>IF(A84="","",VLOOKUP(A84,'TAKIM KAYIT'!$A$6:$O$1250,3,0))</f>
        <v>#NUM!</v>
      </c>
      <c r="C84" s="128" t="e">
        <f>IF(A84="","",VLOOKUP(A84,'TAKIM KAYIT'!$B$6:$O$125,3,FALSE))</f>
        <v>#NUM!</v>
      </c>
      <c r="D84" s="129">
        <f>IF(ISERROR(VLOOKUP($C84,'START LİSTE'!$B$6:$F$1025,2,0)),"",VLOOKUP($C84,'START LİSTE'!$B$6:$F$1025,2,0))</f>
      </c>
      <c r="E84" s="130">
        <f>IF(ISERROR(VLOOKUP($C84,'START LİSTE'!$B$6:$F$1025,4,0)),"",VLOOKUP($C84,'START LİSTE'!$B$6:$F$1025,4,0))</f>
      </c>
      <c r="F84" s="131">
        <f>IF(ISERROR(VLOOKUP($C84,'FERDİ SONUÇ'!$B$6:$H$1069,6,0)),"",VLOOKUP($C84,'FERDİ SONUÇ'!$B$6:$H$1069,6,0))</f>
      </c>
      <c r="G84" s="132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10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>
      <c r="A85" s="126"/>
      <c r="B85" s="127"/>
      <c r="C85" s="128" t="e">
        <f>IF(A84="","",INDEX('TAKIM KAYIT'!$D$6:$D$125,MATCH(C84,'TAKIM KAYIT'!$D$6:$D$125,0)+1))</f>
        <v>#NUM!</v>
      </c>
      <c r="D85" s="129">
        <f>IF(ISERROR(VLOOKUP($C85,'START LİSTE'!$B$6:$F$1025,2,0)),"",VLOOKUP($C85,'START LİSTE'!$B$6:$F$1025,2,0))</f>
      </c>
      <c r="E85" s="130">
        <f>IF(ISERROR(VLOOKUP($C85,'START LİSTE'!$B$6:$F$1025,4,0)),"",VLOOKUP($C85,'START LİSTE'!$B$6:$F$1025,4,0))</f>
      </c>
      <c r="F85" s="131">
        <f>IF(ISERROR(VLOOKUP($C85,'FERDİ SONUÇ'!$B$6:$H$1069,6,0)),"",VLOOKUP($C85,'FERDİ SONUÇ'!$B$6:$H$1069,6,0))</f>
      </c>
      <c r="G85" s="132" t="str">
        <f>IF(OR(E85="",F85="DQ",F85="DNF",F85="DNS",F85=""),"-",VLOOKUP(C85,'FERDİ SONUÇ'!$B$6:$H$1069,7,0))</f>
        <v>-</v>
      </c>
      <c r="H85" s="150"/>
      <c r="I85" s="150"/>
      <c r="J85" s="150"/>
      <c r="K85" s="146"/>
    </row>
    <row r="86" spans="1:11" ht="14.25">
      <c r="A86" s="119"/>
      <c r="B86" s="120"/>
      <c r="C86" s="121" t="e">
        <f>IF(A88="","",INDEX('TAKIM KAYIT'!$D$6:$D$125,MATCH(C88,'TAKIM KAYIT'!$D$6:$D$125,0)-2))</f>
        <v>#NUM!</v>
      </c>
      <c r="D86" s="122">
        <f>IF(ISERROR(VLOOKUP($C86,'START LİSTE'!$B$6:$F$1025,2,0)),"",VLOOKUP($C86,'START LİSTE'!$B$6:$F$1025,2,0))</f>
      </c>
      <c r="E86" s="123">
        <f>IF(ISERROR(VLOOKUP($C86,'START LİSTE'!$B$6:$F$1025,4,0)),"",VLOOKUP($C86,'START LİSTE'!$B$6:$F$1025,4,0))</f>
      </c>
      <c r="F86" s="124">
        <f>IF(ISERROR(VLOOKUP($C86,'FERDİ SONUÇ'!$B$6:$H$1069,6,0)),"",VLOOKUP($C86,'FERDİ SONUÇ'!$B$6:$H$1069,6,0))</f>
      </c>
      <c r="G86" s="125" t="str">
        <f>IF(OR(E86="",F86="DQ",F86="DNF",F86="DNS",F86=""),"-",VLOOKUP(C86,'FERDİ SONUÇ'!$B$6:$H$1069,7,0))</f>
        <v>-</v>
      </c>
      <c r="H86" s="149"/>
      <c r="I86" s="149"/>
      <c r="J86" s="149"/>
      <c r="K86" s="145"/>
    </row>
    <row r="87" spans="1:11" ht="14.25">
      <c r="A87" s="126"/>
      <c r="B87" s="127"/>
      <c r="C87" s="128" t="e">
        <f>IF(A88="","",INDEX('TAKIM KAYIT'!$D$6:$D$125,MATCH(C88,'TAKIM KAYIT'!$D$6:$D$125,0)-1))</f>
        <v>#NUM!</v>
      </c>
      <c r="D87" s="129">
        <f>IF(ISERROR(VLOOKUP($C87,'START LİSTE'!$B$6:$F$1025,2,0)),"",VLOOKUP($C87,'START LİSTE'!$B$6:$F$1025,2,0))</f>
      </c>
      <c r="E87" s="130">
        <f>IF(ISERROR(VLOOKUP($C87,'START LİSTE'!$B$6:$F$1025,4,0)),"",VLOOKUP($C87,'START LİSTE'!$B$6:$F$1025,4,0))</f>
      </c>
      <c r="F87" s="131">
        <f>IF(ISERROR(VLOOKUP($C87,'FERDİ SONUÇ'!$B$6:$H$1069,6,0)),"",VLOOKUP($C87,'FERDİ SONUÇ'!$B$6:$H$1069,6,0))</f>
      </c>
      <c r="G87" s="132" t="str">
        <f>IF(OR(E87="",F87="DQ",F87="DNF",F87="DNS",F87=""),"-",VLOOKUP(C87,'FERDİ SONUÇ'!$B$6:$H$1069,7,0))</f>
        <v>-</v>
      </c>
      <c r="H87" s="150"/>
      <c r="I87" s="150"/>
      <c r="J87" s="150"/>
      <c r="K87" s="146"/>
    </row>
    <row r="88" spans="1:11" ht="15.75">
      <c r="A88" s="126" t="e">
        <f>IF(ISERROR(SMALL('TAKIM KAYIT'!$A$6:$A$125,1)),"",SMALL('TAKIM KAYIT'!$A$6:$A$125,21))</f>
        <v>#NUM!</v>
      </c>
      <c r="B88" s="127" t="e">
        <f>IF(A88="","",VLOOKUP(A88,'TAKIM KAYIT'!$A$6:$O$1250,3,0))</f>
        <v>#NUM!</v>
      </c>
      <c r="C88" s="128" t="e">
        <f>IF(A88="","",VLOOKUP(A88,'TAKIM KAYIT'!$B$6:$O$125,3,FALSE))</f>
        <v>#NUM!</v>
      </c>
      <c r="D88" s="129">
        <f>IF(ISERROR(VLOOKUP($C88,'START LİSTE'!$B$6:$F$1025,2,0)),"",VLOOKUP($C88,'START LİSTE'!$B$6:$F$1025,2,0))</f>
      </c>
      <c r="E88" s="130">
        <f>IF(ISERROR(VLOOKUP($C88,'START LİSTE'!$B$6:$F$1025,4,0)),"",VLOOKUP($C88,'START LİSTE'!$B$6:$F$1025,4,0))</f>
      </c>
      <c r="F88" s="131">
        <f>IF(ISERROR(VLOOKUP($C88,'FERDİ SONUÇ'!$B$6:$H$1069,6,0)),"",VLOOKUP($C88,'FERDİ SONUÇ'!$B$6:$H$1069,6,0))</f>
      </c>
      <c r="G88" s="132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10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>
      <c r="A89" s="126"/>
      <c r="B89" s="127"/>
      <c r="C89" s="128" t="e">
        <f>IF(A88="","",INDEX('TAKIM KAYIT'!$D$6:$D$125,MATCH(C88,'TAKIM KAYIT'!$D$6:$D$125,0)+1))</f>
        <v>#NUM!</v>
      </c>
      <c r="D89" s="129">
        <f>IF(ISERROR(VLOOKUP($C89,'START LİSTE'!$B$6:$F$1025,2,0)),"",VLOOKUP($C89,'START LİSTE'!$B$6:$F$1025,2,0))</f>
      </c>
      <c r="E89" s="130">
        <f>IF(ISERROR(VLOOKUP($C89,'START LİSTE'!$B$6:$F$1025,4,0)),"",VLOOKUP($C89,'START LİSTE'!$B$6:$F$1025,4,0))</f>
      </c>
      <c r="F89" s="131">
        <f>IF(ISERROR(VLOOKUP($C89,'FERDİ SONUÇ'!$B$6:$H$1069,6,0)),"",VLOOKUP($C89,'FERDİ SONUÇ'!$B$6:$H$1069,6,0))</f>
      </c>
      <c r="G89" s="132" t="str">
        <f>IF(OR(E89="",F89="DQ",F89="DNF",F89="DNS",F89=""),"-",VLOOKUP(C89,'FERDİ SONUÇ'!$B$6:$H$1069,7,0))</f>
        <v>-</v>
      </c>
      <c r="H89" s="150"/>
      <c r="I89" s="150"/>
      <c r="J89" s="150"/>
      <c r="K89" s="146"/>
    </row>
    <row r="90" spans="1:11" ht="14.25">
      <c r="A90" s="119"/>
      <c r="B90" s="120"/>
      <c r="C90" s="121" t="e">
        <f>IF(A92="","",INDEX('TAKIM KAYIT'!$D$6:$D$125,MATCH(C92,'TAKIM KAYIT'!$D$6:$D$125,0)-2))</f>
        <v>#NUM!</v>
      </c>
      <c r="D90" s="122">
        <f>IF(ISERROR(VLOOKUP($C90,'START LİSTE'!$B$6:$F$1025,2,0)),"",VLOOKUP($C90,'START LİSTE'!$B$6:$F$1025,2,0))</f>
      </c>
      <c r="E90" s="123">
        <f>IF(ISERROR(VLOOKUP($C90,'START LİSTE'!$B$6:$F$1025,4,0)),"",VLOOKUP($C90,'START LİSTE'!$B$6:$F$1025,4,0))</f>
      </c>
      <c r="F90" s="124">
        <f>IF(ISERROR(VLOOKUP($C90,'FERDİ SONUÇ'!$B$6:$H$1069,6,0)),"",VLOOKUP($C90,'FERDİ SONUÇ'!$B$6:$H$1069,6,0))</f>
      </c>
      <c r="G90" s="125" t="str">
        <f>IF(OR(E90="",F90="DQ",F90="DNF",F90="DNS",F90=""),"-",VLOOKUP(C90,'FERDİ SONUÇ'!$B$6:$H$1069,7,0))</f>
        <v>-</v>
      </c>
      <c r="H90" s="149"/>
      <c r="I90" s="149"/>
      <c r="J90" s="149"/>
      <c r="K90" s="145"/>
    </row>
    <row r="91" spans="1:11" ht="14.25">
      <c r="A91" s="126"/>
      <c r="B91" s="127"/>
      <c r="C91" s="128" t="e">
        <f>IF(A92="","",INDEX('TAKIM KAYIT'!$D$6:$D$125,MATCH(C92,'TAKIM KAYIT'!$D$6:$D$125,0)-1))</f>
        <v>#NUM!</v>
      </c>
      <c r="D91" s="129">
        <f>IF(ISERROR(VLOOKUP($C91,'START LİSTE'!$B$6:$F$1025,2,0)),"",VLOOKUP($C91,'START LİSTE'!$B$6:$F$1025,2,0))</f>
      </c>
      <c r="E91" s="130">
        <f>IF(ISERROR(VLOOKUP($C91,'START LİSTE'!$B$6:$F$1025,4,0)),"",VLOOKUP($C91,'START LİSTE'!$B$6:$F$1025,4,0))</f>
      </c>
      <c r="F91" s="131">
        <f>IF(ISERROR(VLOOKUP($C91,'FERDİ SONUÇ'!$B$6:$H$1069,6,0)),"",VLOOKUP($C91,'FERDİ SONUÇ'!$B$6:$H$1069,6,0))</f>
      </c>
      <c r="G91" s="132" t="str">
        <f>IF(OR(E91="",F91="DQ",F91="DNF",F91="DNS",F91=""),"-",VLOOKUP(C91,'FERDİ SONUÇ'!$B$6:$H$1069,7,0))</f>
        <v>-</v>
      </c>
      <c r="H91" s="150"/>
      <c r="I91" s="150"/>
      <c r="J91" s="150"/>
      <c r="K91" s="146"/>
    </row>
    <row r="92" spans="1:11" ht="15.75">
      <c r="A92" s="126" t="e">
        <f>IF(ISERROR(SMALL('TAKIM KAYIT'!$A$6:$A$125,1)),"",SMALL('TAKIM KAYIT'!$A$6:$A$125,22))</f>
        <v>#NUM!</v>
      </c>
      <c r="B92" s="127" t="e">
        <f>IF(A92="","",VLOOKUP(A92,'TAKIM KAYIT'!$A$6:$O$1250,3,0))</f>
        <v>#NUM!</v>
      </c>
      <c r="C92" s="128" t="e">
        <f>IF(A92="","",VLOOKUP(A92,'TAKIM KAYIT'!$B$6:$O$125,3,FALSE))</f>
        <v>#NUM!</v>
      </c>
      <c r="D92" s="129">
        <f>IF(ISERROR(VLOOKUP($C92,'START LİSTE'!$B$6:$F$1025,2,0)),"",VLOOKUP($C92,'START LİSTE'!$B$6:$F$1025,2,0))</f>
      </c>
      <c r="E92" s="130">
        <f>IF(ISERROR(VLOOKUP($C92,'START LİSTE'!$B$6:$F$1025,4,0)),"",VLOOKUP($C92,'START LİSTE'!$B$6:$F$1025,4,0))</f>
      </c>
      <c r="F92" s="131">
        <f>IF(ISERROR(VLOOKUP($C92,'FERDİ SONUÇ'!$B$6:$H$1069,6,0)),"",VLOOKUP($C92,'FERDİ SONUÇ'!$B$6:$H$1069,6,0))</f>
      </c>
      <c r="G92" s="132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10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>
      <c r="A93" s="126"/>
      <c r="B93" s="127"/>
      <c r="C93" s="128" t="e">
        <f>IF(A92="","",INDEX('TAKIM KAYIT'!$D$6:$D$125,MATCH(C92,'TAKIM KAYIT'!$D$6:$D$125,0)+1))</f>
        <v>#NUM!</v>
      </c>
      <c r="D93" s="129">
        <f>IF(ISERROR(VLOOKUP($C93,'START LİSTE'!$B$6:$F$1025,2,0)),"",VLOOKUP($C93,'START LİSTE'!$B$6:$F$1025,2,0))</f>
      </c>
      <c r="E93" s="130">
        <f>IF(ISERROR(VLOOKUP($C93,'START LİSTE'!$B$6:$F$1025,4,0)),"",VLOOKUP($C93,'START LİSTE'!$B$6:$F$1025,4,0))</f>
      </c>
      <c r="F93" s="131">
        <f>IF(ISERROR(VLOOKUP($C93,'FERDİ SONUÇ'!$B$6:$H$1069,6,0)),"",VLOOKUP($C93,'FERDİ SONUÇ'!$B$6:$H$1069,6,0))</f>
      </c>
      <c r="G93" s="132" t="str">
        <f>IF(OR(E93="",F93="DQ",F93="DNF",F93="DNS",F93=""),"-",VLOOKUP(C93,'FERDİ SONUÇ'!$B$6:$H$1069,7,0))</f>
        <v>-</v>
      </c>
      <c r="H93" s="150"/>
      <c r="I93" s="150"/>
      <c r="J93" s="150"/>
      <c r="K93" s="146"/>
    </row>
    <row r="94" spans="1:11" ht="14.25">
      <c r="A94" s="119"/>
      <c r="B94" s="120"/>
      <c r="C94" s="121" t="e">
        <f>IF(A96="","",INDEX('TAKIM KAYIT'!$D$6:$D$125,MATCH(C96,'TAKIM KAYIT'!$D$6:$D$125,0)-2))</f>
        <v>#NUM!</v>
      </c>
      <c r="D94" s="122">
        <f>IF(ISERROR(VLOOKUP($C94,'START LİSTE'!$B$6:$F$1025,2,0)),"",VLOOKUP($C94,'START LİSTE'!$B$6:$F$1025,2,0))</f>
      </c>
      <c r="E94" s="123">
        <f>IF(ISERROR(VLOOKUP($C94,'START LİSTE'!$B$6:$F$1025,4,0)),"",VLOOKUP($C94,'START LİSTE'!$B$6:$F$1025,4,0))</f>
      </c>
      <c r="F94" s="124">
        <f>IF(ISERROR(VLOOKUP($C94,'FERDİ SONUÇ'!$B$6:$H$1069,6,0)),"",VLOOKUP($C94,'FERDİ SONUÇ'!$B$6:$H$1069,6,0))</f>
      </c>
      <c r="G94" s="125" t="str">
        <f>IF(OR(E94="",F94="DQ",F94="DNF",F94="DNS",F94=""),"-",VLOOKUP(C94,'FERDİ SONUÇ'!$B$6:$H$1069,7,0))</f>
        <v>-</v>
      </c>
      <c r="H94" s="149"/>
      <c r="I94" s="149"/>
      <c r="J94" s="149"/>
      <c r="K94" s="145"/>
    </row>
    <row r="95" spans="1:11" ht="14.25">
      <c r="A95" s="126"/>
      <c r="B95" s="127"/>
      <c r="C95" s="128" t="e">
        <f>IF(A96="","",INDEX('TAKIM KAYIT'!$D$6:$D$125,MATCH(C96,'TAKIM KAYIT'!$D$6:$D$125,0)-1))</f>
        <v>#NUM!</v>
      </c>
      <c r="D95" s="129">
        <f>IF(ISERROR(VLOOKUP($C95,'START LİSTE'!$B$6:$F$1025,2,0)),"",VLOOKUP($C95,'START LİSTE'!$B$6:$F$1025,2,0))</f>
      </c>
      <c r="E95" s="130">
        <f>IF(ISERROR(VLOOKUP($C95,'START LİSTE'!$B$6:$F$1025,4,0)),"",VLOOKUP($C95,'START LİSTE'!$B$6:$F$1025,4,0))</f>
      </c>
      <c r="F95" s="131">
        <f>IF(ISERROR(VLOOKUP($C95,'FERDİ SONUÇ'!$B$6:$H$1069,6,0)),"",VLOOKUP($C95,'FERDİ SONUÇ'!$B$6:$H$1069,6,0))</f>
      </c>
      <c r="G95" s="132" t="str">
        <f>IF(OR(E95="",F95="DQ",F95="DNF",F95="DNS",F95=""),"-",VLOOKUP(C95,'FERDİ SONUÇ'!$B$6:$H$1069,7,0))</f>
        <v>-</v>
      </c>
      <c r="H95" s="150"/>
      <c r="I95" s="150"/>
      <c r="J95" s="150"/>
      <c r="K95" s="146"/>
    </row>
    <row r="96" spans="1:11" ht="15.75">
      <c r="A96" s="126" t="e">
        <f>IF(ISERROR(SMALL('TAKIM KAYIT'!$A$6:$A$125,1)),"",SMALL('TAKIM KAYIT'!$A$6:$A$125,23))</f>
        <v>#NUM!</v>
      </c>
      <c r="B96" s="127" t="e">
        <f>IF(A96="","",VLOOKUP(A96,'TAKIM KAYIT'!$A$6:$O$1250,3,0))</f>
        <v>#NUM!</v>
      </c>
      <c r="C96" s="128" t="e">
        <f>IF(A96="","",VLOOKUP(A96,'TAKIM KAYIT'!$B$6:$O$125,3,FALSE))</f>
        <v>#NUM!</v>
      </c>
      <c r="D96" s="129">
        <f>IF(ISERROR(VLOOKUP($C96,'START LİSTE'!$B$6:$F$1025,2,0)),"",VLOOKUP($C96,'START LİSTE'!$B$6:$F$1025,2,0))</f>
      </c>
      <c r="E96" s="130">
        <f>IF(ISERROR(VLOOKUP($C96,'START LİSTE'!$B$6:$F$1025,4,0)),"",VLOOKUP($C96,'START LİSTE'!$B$6:$F$1025,4,0))</f>
      </c>
      <c r="F96" s="131">
        <f>IF(ISERROR(VLOOKUP($C96,'FERDİ SONUÇ'!$B$6:$H$1069,6,0)),"",VLOOKUP($C96,'FERDİ SONUÇ'!$B$6:$H$1069,6,0))</f>
      </c>
      <c r="G96" s="132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10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>
      <c r="A97" s="126"/>
      <c r="B97" s="127"/>
      <c r="C97" s="128" t="e">
        <f>IF(A96="","",INDEX('TAKIM KAYIT'!$D$6:$D$125,MATCH(C96,'TAKIM KAYIT'!$D$6:$D$125,0)+1))</f>
        <v>#NUM!</v>
      </c>
      <c r="D97" s="129">
        <f>IF(ISERROR(VLOOKUP($C97,'START LİSTE'!$B$6:$F$1025,2,0)),"",VLOOKUP($C97,'START LİSTE'!$B$6:$F$1025,2,0))</f>
      </c>
      <c r="E97" s="130">
        <f>IF(ISERROR(VLOOKUP($C97,'START LİSTE'!$B$6:$F$1025,4,0)),"",VLOOKUP($C97,'START LİSTE'!$B$6:$F$1025,4,0))</f>
      </c>
      <c r="F97" s="131">
        <f>IF(ISERROR(VLOOKUP($C97,'FERDİ SONUÇ'!$B$6:$H$1069,6,0)),"",VLOOKUP($C97,'FERDİ SONUÇ'!$B$6:$H$1069,6,0))</f>
      </c>
      <c r="G97" s="132" t="str">
        <f>IF(OR(E97="",F97="DQ",F97="DNF",F97="DNS",F97=""),"-",VLOOKUP(C97,'FERDİ SONUÇ'!$B$6:$H$1069,7,0))</f>
        <v>-</v>
      </c>
      <c r="H97" s="150"/>
      <c r="I97" s="150"/>
      <c r="J97" s="150"/>
      <c r="K97" s="146"/>
    </row>
    <row r="98" spans="1:11" ht="14.25">
      <c r="A98" s="119"/>
      <c r="B98" s="120"/>
      <c r="C98" s="121" t="e">
        <f>IF(A100="","",INDEX('TAKIM KAYIT'!$D$6:$D$125,MATCH(C100,'TAKIM KAYIT'!$D$6:$D$125,0)-2))</f>
        <v>#NUM!</v>
      </c>
      <c r="D98" s="122">
        <f>IF(ISERROR(VLOOKUP($C98,'START LİSTE'!$B$6:$F$1025,2,0)),"",VLOOKUP($C98,'START LİSTE'!$B$6:$F$1025,2,0))</f>
      </c>
      <c r="E98" s="123">
        <f>IF(ISERROR(VLOOKUP($C98,'START LİSTE'!$B$6:$F$1025,4,0)),"",VLOOKUP($C98,'START LİSTE'!$B$6:$F$1025,4,0))</f>
      </c>
      <c r="F98" s="124">
        <f>IF(ISERROR(VLOOKUP($C98,'FERDİ SONUÇ'!$B$6:$H$1069,6,0)),"",VLOOKUP($C98,'FERDİ SONUÇ'!$B$6:$H$1069,6,0))</f>
      </c>
      <c r="G98" s="125" t="str">
        <f>IF(OR(E98="",F98="DQ",F98="DNF",F98="DNS",F98=""),"-",VLOOKUP(C98,'FERDİ SONUÇ'!$B$6:$H$1069,7,0))</f>
        <v>-</v>
      </c>
      <c r="H98" s="149"/>
      <c r="I98" s="149"/>
      <c r="J98" s="149"/>
      <c r="K98" s="145"/>
    </row>
    <row r="99" spans="1:11" ht="14.25">
      <c r="A99" s="126"/>
      <c r="B99" s="127"/>
      <c r="C99" s="128" t="e">
        <f>IF(A100="","",INDEX('TAKIM KAYIT'!$D$6:$D$125,MATCH(C100,'TAKIM KAYIT'!$D$6:$D$125,0)-1))</f>
        <v>#NUM!</v>
      </c>
      <c r="D99" s="129">
        <f>IF(ISERROR(VLOOKUP($C99,'START LİSTE'!$B$6:$F$1025,2,0)),"",VLOOKUP($C99,'START LİSTE'!$B$6:$F$1025,2,0))</f>
      </c>
      <c r="E99" s="130">
        <f>IF(ISERROR(VLOOKUP($C99,'START LİSTE'!$B$6:$F$1025,4,0)),"",VLOOKUP($C99,'START LİSTE'!$B$6:$F$1025,4,0))</f>
      </c>
      <c r="F99" s="131">
        <f>IF(ISERROR(VLOOKUP($C99,'FERDİ SONUÇ'!$B$6:$H$1069,6,0)),"",VLOOKUP($C99,'FERDİ SONUÇ'!$B$6:$H$1069,6,0))</f>
      </c>
      <c r="G99" s="132" t="str">
        <f>IF(OR(E99="",F99="DQ",F99="DNF",F99="DNS",F99=""),"-",VLOOKUP(C99,'FERDİ SONUÇ'!$B$6:$H$1069,7,0))</f>
        <v>-</v>
      </c>
      <c r="H99" s="150"/>
      <c r="I99" s="150"/>
      <c r="J99" s="150"/>
      <c r="K99" s="146"/>
    </row>
    <row r="100" spans="1:11" ht="15.75">
      <c r="A100" s="126" t="e">
        <f>IF(ISERROR(SMALL('TAKIM KAYIT'!$A$6:$A$125,1)),"",SMALL('TAKIM KAYIT'!$A$6:$A$125,24))</f>
        <v>#NUM!</v>
      </c>
      <c r="B100" s="127" t="e">
        <f>IF(A100="","",VLOOKUP(A100,'TAKIM KAYIT'!$A$6:$O$1250,3,0))</f>
        <v>#NUM!</v>
      </c>
      <c r="C100" s="128" t="e">
        <f>IF(A100="","",VLOOKUP(A100,'TAKIM KAYIT'!$B$6:$O$125,3,FALSE))</f>
        <v>#NUM!</v>
      </c>
      <c r="D100" s="129">
        <f>IF(ISERROR(VLOOKUP($C100,'START LİSTE'!$B$6:$F$1025,2,0)),"",VLOOKUP($C100,'START LİSTE'!$B$6:$F$1025,2,0))</f>
      </c>
      <c r="E100" s="130">
        <f>IF(ISERROR(VLOOKUP($C100,'START LİSTE'!$B$6:$F$1025,4,0)),"",VLOOKUP($C100,'START LİSTE'!$B$6:$F$1025,4,0))</f>
      </c>
      <c r="F100" s="131">
        <f>IF(ISERROR(VLOOKUP($C100,'FERDİ SONUÇ'!$B$6:$H$1069,6,0)),"",VLOOKUP($C100,'FERDİ SONUÇ'!$B$6:$H$1069,6,0))</f>
      </c>
      <c r="G100" s="132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10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>
      <c r="A101" s="126"/>
      <c r="B101" s="127"/>
      <c r="C101" s="128" t="e">
        <f>IF(A100="","",INDEX('TAKIM KAYIT'!$D$6:$D$125,MATCH(C100,'TAKIM KAYIT'!$D$6:$D$125,0)+1))</f>
        <v>#NUM!</v>
      </c>
      <c r="D101" s="129">
        <f>IF(ISERROR(VLOOKUP($C101,'START LİSTE'!$B$6:$F$1025,2,0)),"",VLOOKUP($C101,'START LİSTE'!$B$6:$F$1025,2,0))</f>
      </c>
      <c r="E101" s="130">
        <f>IF(ISERROR(VLOOKUP($C101,'START LİSTE'!$B$6:$F$1025,4,0)),"",VLOOKUP($C101,'START LİSTE'!$B$6:$F$1025,4,0))</f>
      </c>
      <c r="F101" s="131">
        <f>IF(ISERROR(VLOOKUP($C101,'FERDİ SONUÇ'!$B$6:$H$1069,6,0)),"",VLOOKUP($C101,'FERDİ SONUÇ'!$B$6:$H$1069,6,0))</f>
      </c>
      <c r="G101" s="132" t="str">
        <f>IF(OR(E101="",F101="DQ",F101="DNF",F101="DNS",F101=""),"-",VLOOKUP(C101,'FERDİ SONUÇ'!$B$6:$H$1069,7,0))</f>
        <v>-</v>
      </c>
      <c r="H101" s="150"/>
      <c r="I101" s="150"/>
      <c r="J101" s="150"/>
      <c r="K101" s="146"/>
    </row>
    <row r="102" spans="1:11" ht="14.25">
      <c r="A102" s="119"/>
      <c r="B102" s="120"/>
      <c r="C102" s="121" t="e">
        <f>IF(A104="","",INDEX('TAKIM KAYIT'!$D$6:$D$125,MATCH(C104,'TAKIM KAYIT'!$D$6:$D$125,0)-2))</f>
        <v>#NUM!</v>
      </c>
      <c r="D102" s="122">
        <f>IF(ISERROR(VLOOKUP($C102,'START LİSTE'!$B$6:$F$1025,2,0)),"",VLOOKUP($C102,'START LİSTE'!$B$6:$F$1025,2,0))</f>
      </c>
      <c r="E102" s="123">
        <f>IF(ISERROR(VLOOKUP($C102,'START LİSTE'!$B$6:$F$1025,4,0)),"",VLOOKUP($C102,'START LİSTE'!$B$6:$F$1025,4,0))</f>
      </c>
      <c r="F102" s="124">
        <f>IF(ISERROR(VLOOKUP($C102,'FERDİ SONUÇ'!$B$6:$H$1069,6,0)),"",VLOOKUP($C102,'FERDİ SONUÇ'!$B$6:$H$1069,6,0))</f>
      </c>
      <c r="G102" s="125" t="str">
        <f>IF(OR(E102="",F102="DQ",F102="DNF",F102="DNS",F102=""),"-",VLOOKUP(C102,'FERDİ SONUÇ'!$B$6:$H$1069,7,0))</f>
        <v>-</v>
      </c>
      <c r="H102" s="149"/>
      <c r="I102" s="149"/>
      <c r="J102" s="149"/>
      <c r="K102" s="145"/>
    </row>
    <row r="103" spans="1:11" ht="14.25">
      <c r="A103" s="126"/>
      <c r="B103" s="127"/>
      <c r="C103" s="128" t="e">
        <f>IF(A104="","",INDEX('TAKIM KAYIT'!$D$6:$D$125,MATCH(C104,'TAKIM KAYIT'!$D$6:$D$125,0)-1))</f>
        <v>#NUM!</v>
      </c>
      <c r="D103" s="129">
        <f>IF(ISERROR(VLOOKUP($C103,'START LİSTE'!$B$6:$F$1025,2,0)),"",VLOOKUP($C103,'START LİSTE'!$B$6:$F$1025,2,0))</f>
      </c>
      <c r="E103" s="130">
        <f>IF(ISERROR(VLOOKUP($C103,'START LİSTE'!$B$6:$F$1025,4,0)),"",VLOOKUP($C103,'START LİSTE'!$B$6:$F$1025,4,0))</f>
      </c>
      <c r="F103" s="131">
        <f>IF(ISERROR(VLOOKUP($C103,'FERDİ SONUÇ'!$B$6:$H$1069,6,0)),"",VLOOKUP($C103,'FERDİ SONUÇ'!$B$6:$H$1069,6,0))</f>
      </c>
      <c r="G103" s="132" t="str">
        <f>IF(OR(E103="",F103="DQ",F103="DNF",F103="DNS",F103=""),"-",VLOOKUP(C103,'FERDİ SONUÇ'!$B$6:$H$1069,7,0))</f>
        <v>-</v>
      </c>
      <c r="H103" s="150"/>
      <c r="I103" s="150"/>
      <c r="J103" s="150"/>
      <c r="K103" s="146"/>
    </row>
    <row r="104" spans="1:11" ht="15.75">
      <c r="A104" s="126" t="e">
        <f>IF(ISERROR(SMALL('TAKIM KAYIT'!$A$6:$A$125,1)),"",SMALL('TAKIM KAYIT'!$A$6:$A$125,25))</f>
        <v>#NUM!</v>
      </c>
      <c r="B104" s="127" t="e">
        <f>IF(A104="","",VLOOKUP(A104,'TAKIM KAYIT'!$A$6:$O$1250,3,0))</f>
        <v>#NUM!</v>
      </c>
      <c r="C104" s="128" t="e">
        <f>IF(A104="","",VLOOKUP(A104,'TAKIM KAYIT'!$B$6:$O$125,3,FALSE))</f>
        <v>#NUM!</v>
      </c>
      <c r="D104" s="129">
        <f>IF(ISERROR(VLOOKUP($C104,'START LİSTE'!$B$6:$F$1025,2,0)),"",VLOOKUP($C104,'START LİSTE'!$B$6:$F$1025,2,0))</f>
      </c>
      <c r="E104" s="130">
        <f>IF(ISERROR(VLOOKUP($C104,'START LİSTE'!$B$6:$F$1025,4,0)),"",VLOOKUP($C104,'START LİSTE'!$B$6:$F$1025,4,0))</f>
      </c>
      <c r="F104" s="131">
        <f>IF(ISERROR(VLOOKUP($C104,'FERDİ SONUÇ'!$B$6:$H$1069,6,0)),"",VLOOKUP($C104,'FERDİ SONUÇ'!$B$6:$H$1069,6,0))</f>
      </c>
      <c r="G104" s="132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10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>
      <c r="A105" s="126"/>
      <c r="B105" s="127"/>
      <c r="C105" s="128" t="e">
        <f>IF(A104="","",INDEX('TAKIM KAYIT'!$D$6:$D$125,MATCH(C104,'TAKIM KAYIT'!$D$6:$D$125,0)+1))</f>
        <v>#NUM!</v>
      </c>
      <c r="D105" s="129">
        <f>IF(ISERROR(VLOOKUP($C105,'START LİSTE'!$B$6:$F$1025,2,0)),"",VLOOKUP($C105,'START LİSTE'!$B$6:$F$1025,2,0))</f>
      </c>
      <c r="E105" s="130">
        <f>IF(ISERROR(VLOOKUP($C105,'START LİSTE'!$B$6:$F$1025,4,0)),"",VLOOKUP($C105,'START LİSTE'!$B$6:$F$1025,4,0))</f>
      </c>
      <c r="F105" s="131">
        <f>IF(ISERROR(VLOOKUP($C105,'FERDİ SONUÇ'!$B$6:$H$1069,6,0)),"",VLOOKUP($C105,'FERDİ SONUÇ'!$B$6:$H$1069,6,0))</f>
      </c>
      <c r="G105" s="132" t="str">
        <f>IF(OR(E105="",F105="DQ",F105="DNF",F105="DNS",F105=""),"-",VLOOKUP(C105,'FERDİ SONUÇ'!$B$6:$H$1069,7,0))</f>
        <v>-</v>
      </c>
      <c r="H105" s="150"/>
      <c r="I105" s="150"/>
      <c r="J105" s="150"/>
      <c r="K105" s="146"/>
    </row>
    <row r="106" spans="1:11" ht="14.25">
      <c r="A106" s="119"/>
      <c r="B106" s="120"/>
      <c r="C106" s="121" t="e">
        <f>IF(A108="","",INDEX('TAKIM KAYIT'!$D$6:$D$125,MATCH(C108,'TAKIM KAYIT'!$D$6:$D$125,0)-2))</f>
        <v>#NUM!</v>
      </c>
      <c r="D106" s="122">
        <f>IF(ISERROR(VLOOKUP($C106,'START LİSTE'!$B$6:$F$1025,2,0)),"",VLOOKUP($C106,'START LİSTE'!$B$6:$F$1025,2,0))</f>
      </c>
      <c r="E106" s="123">
        <f>IF(ISERROR(VLOOKUP($C106,'START LİSTE'!$B$6:$F$1025,4,0)),"",VLOOKUP($C106,'START LİSTE'!$B$6:$F$1025,4,0))</f>
      </c>
      <c r="F106" s="124">
        <f>IF(ISERROR(VLOOKUP($C106,'FERDİ SONUÇ'!$B$6:$H$1069,6,0)),"",VLOOKUP($C106,'FERDİ SONUÇ'!$B$6:$H$1069,6,0))</f>
      </c>
      <c r="G106" s="125" t="str">
        <f>IF(OR(E106="",F106="DQ",F106="DNF",F106="DNS",F106=""),"-",VLOOKUP(C106,'FERDİ SONUÇ'!$B$6:$H$1069,7,0))</f>
        <v>-</v>
      </c>
      <c r="H106" s="149"/>
      <c r="I106" s="149"/>
      <c r="J106" s="149"/>
      <c r="K106" s="145"/>
    </row>
    <row r="107" spans="1:11" ht="14.25">
      <c r="A107" s="126"/>
      <c r="B107" s="127"/>
      <c r="C107" s="128" t="e">
        <f>IF(A108="","",INDEX('TAKIM KAYIT'!$D$6:$D$125,MATCH(C108,'TAKIM KAYIT'!$D$6:$D$125,0)-1))</f>
        <v>#NUM!</v>
      </c>
      <c r="D107" s="129">
        <f>IF(ISERROR(VLOOKUP($C107,'START LİSTE'!$B$6:$F$1025,2,0)),"",VLOOKUP($C107,'START LİSTE'!$B$6:$F$1025,2,0))</f>
      </c>
      <c r="E107" s="130">
        <f>IF(ISERROR(VLOOKUP($C107,'START LİSTE'!$B$6:$F$1025,4,0)),"",VLOOKUP($C107,'START LİSTE'!$B$6:$F$1025,4,0))</f>
      </c>
      <c r="F107" s="131">
        <f>IF(ISERROR(VLOOKUP($C107,'FERDİ SONUÇ'!$B$6:$H$1069,6,0)),"",VLOOKUP($C107,'FERDİ SONUÇ'!$B$6:$H$1069,6,0))</f>
      </c>
      <c r="G107" s="132" t="str">
        <f>IF(OR(E107="",F107="DQ",F107="DNF",F107="DNS",F107=""),"-",VLOOKUP(C107,'FERDİ SONUÇ'!$B$6:$H$1069,7,0))</f>
        <v>-</v>
      </c>
      <c r="H107" s="150"/>
      <c r="I107" s="150"/>
      <c r="J107" s="150"/>
      <c r="K107" s="146"/>
    </row>
    <row r="108" spans="1:11" ht="15.75">
      <c r="A108" s="126" t="e">
        <f>IF(ISERROR(SMALL('TAKIM KAYIT'!$A$6:$A$125,1)),"",SMALL('TAKIM KAYIT'!$A$6:$A$125,26))</f>
        <v>#NUM!</v>
      </c>
      <c r="B108" s="127" t="e">
        <f>IF(A108="","",VLOOKUP(A108,'TAKIM KAYIT'!$A$6:$O$1250,3,0))</f>
        <v>#NUM!</v>
      </c>
      <c r="C108" s="128" t="e">
        <f>IF(A108="","",VLOOKUP(A108,'TAKIM KAYIT'!$B$6:$O$125,3,FALSE))</f>
        <v>#NUM!</v>
      </c>
      <c r="D108" s="129">
        <f>IF(ISERROR(VLOOKUP($C108,'START LİSTE'!$B$6:$F$1025,2,0)),"",VLOOKUP($C108,'START LİSTE'!$B$6:$F$1025,2,0))</f>
      </c>
      <c r="E108" s="130">
        <f>IF(ISERROR(VLOOKUP($C108,'START LİSTE'!$B$6:$F$1025,4,0)),"",VLOOKUP($C108,'START LİSTE'!$B$6:$F$1025,4,0))</f>
      </c>
      <c r="F108" s="131">
        <f>IF(ISERROR(VLOOKUP($C108,'FERDİ SONUÇ'!$B$6:$H$1069,6,0)),"",VLOOKUP($C108,'FERDİ SONUÇ'!$B$6:$H$1069,6,0))</f>
      </c>
      <c r="G108" s="132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10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>
      <c r="A109" s="126"/>
      <c r="B109" s="127"/>
      <c r="C109" s="128" t="e">
        <f>IF(A108="","",INDEX('TAKIM KAYIT'!$D$6:$D$125,MATCH(C108,'TAKIM KAYIT'!$D$6:$D$125,0)+1))</f>
        <v>#NUM!</v>
      </c>
      <c r="D109" s="129">
        <f>IF(ISERROR(VLOOKUP($C109,'START LİSTE'!$B$6:$F$1025,2,0)),"",VLOOKUP($C109,'START LİSTE'!$B$6:$F$1025,2,0))</f>
      </c>
      <c r="E109" s="130">
        <f>IF(ISERROR(VLOOKUP($C109,'START LİSTE'!$B$6:$F$1025,4,0)),"",VLOOKUP($C109,'START LİSTE'!$B$6:$F$1025,4,0))</f>
      </c>
      <c r="F109" s="131">
        <f>IF(ISERROR(VLOOKUP($C109,'FERDİ SONUÇ'!$B$6:$H$1069,6,0)),"",VLOOKUP($C109,'FERDİ SONUÇ'!$B$6:$H$1069,6,0))</f>
      </c>
      <c r="G109" s="132" t="str">
        <f>IF(OR(E109="",F109="DQ",F109="DNF",F109="DNS",F109=""),"-",VLOOKUP(C109,'FERDİ SONUÇ'!$B$6:$H$1069,7,0))</f>
        <v>-</v>
      </c>
      <c r="H109" s="150"/>
      <c r="I109" s="150"/>
      <c r="J109" s="150"/>
      <c r="K109" s="146"/>
    </row>
    <row r="110" spans="1:11" ht="14.25">
      <c r="A110" s="119"/>
      <c r="B110" s="120"/>
      <c r="C110" s="121" t="e">
        <f>IF(A112="","",INDEX('TAKIM KAYIT'!$D$6:$D$125,MATCH(C112,'TAKIM KAYIT'!$D$6:$D$125,0)-2))</f>
        <v>#NUM!</v>
      </c>
      <c r="D110" s="122">
        <f>IF(ISERROR(VLOOKUP($C110,'START LİSTE'!$B$6:$F$1025,2,0)),"",VLOOKUP($C110,'START LİSTE'!$B$6:$F$1025,2,0))</f>
      </c>
      <c r="E110" s="123">
        <f>IF(ISERROR(VLOOKUP($C110,'START LİSTE'!$B$6:$F$1025,4,0)),"",VLOOKUP($C110,'START LİSTE'!$B$6:$F$1025,4,0))</f>
      </c>
      <c r="F110" s="124">
        <f>IF(ISERROR(VLOOKUP($C110,'FERDİ SONUÇ'!$B$6:$H$1069,6,0)),"",VLOOKUP($C110,'FERDİ SONUÇ'!$B$6:$H$1069,6,0))</f>
      </c>
      <c r="G110" s="125" t="str">
        <f>IF(OR(E110="",F110="DQ",F110="DNF",F110="DNS",F110=""),"-",VLOOKUP(C110,'FERDİ SONUÇ'!$B$6:$H$1069,7,0))</f>
        <v>-</v>
      </c>
      <c r="H110" s="149"/>
      <c r="I110" s="149"/>
      <c r="J110" s="149"/>
      <c r="K110" s="145"/>
    </row>
    <row r="111" spans="1:11" ht="14.25">
      <c r="A111" s="126"/>
      <c r="B111" s="127"/>
      <c r="C111" s="128" t="e">
        <f>IF(A112="","",INDEX('TAKIM KAYIT'!$D$6:$D$125,MATCH(C112,'TAKIM KAYIT'!$D$6:$D$125,0)-1))</f>
        <v>#NUM!</v>
      </c>
      <c r="D111" s="129">
        <f>IF(ISERROR(VLOOKUP($C111,'START LİSTE'!$B$6:$F$1025,2,0)),"",VLOOKUP($C111,'START LİSTE'!$B$6:$F$1025,2,0))</f>
      </c>
      <c r="E111" s="130">
        <f>IF(ISERROR(VLOOKUP($C111,'START LİSTE'!$B$6:$F$1025,4,0)),"",VLOOKUP($C111,'START LİSTE'!$B$6:$F$1025,4,0))</f>
      </c>
      <c r="F111" s="131">
        <f>IF(ISERROR(VLOOKUP($C111,'FERDİ SONUÇ'!$B$6:$H$1069,6,0)),"",VLOOKUP($C111,'FERDİ SONUÇ'!$B$6:$H$1069,6,0))</f>
      </c>
      <c r="G111" s="132" t="str">
        <f>IF(OR(E111="",F111="DQ",F111="DNF",F111="DNS",F111=""),"-",VLOOKUP(C111,'FERDİ SONUÇ'!$B$6:$H$1069,7,0))</f>
        <v>-</v>
      </c>
      <c r="H111" s="150"/>
      <c r="I111" s="150"/>
      <c r="J111" s="150"/>
      <c r="K111" s="146"/>
    </row>
    <row r="112" spans="1:11" ht="15.75">
      <c r="A112" s="126" t="e">
        <f>IF(ISERROR(SMALL('TAKIM KAYIT'!$A$6:$A$125,1)),"",SMALL('TAKIM KAYIT'!$A$6:$A$125,27))</f>
        <v>#NUM!</v>
      </c>
      <c r="B112" s="127" t="e">
        <f>IF(A112="","",VLOOKUP(A112,'TAKIM KAYIT'!$A$6:$O$1250,3,0))</f>
        <v>#NUM!</v>
      </c>
      <c r="C112" s="128" t="e">
        <f>IF(A112="","",VLOOKUP(A112,'TAKIM KAYIT'!$B$6:$O$125,3,FALSE))</f>
        <v>#NUM!</v>
      </c>
      <c r="D112" s="129">
        <f>IF(ISERROR(VLOOKUP($C112,'START LİSTE'!$B$6:$F$1025,2,0)),"",VLOOKUP($C112,'START LİSTE'!$B$6:$F$1025,2,0))</f>
      </c>
      <c r="E112" s="130">
        <f>IF(ISERROR(VLOOKUP($C112,'START LİSTE'!$B$6:$F$1025,4,0)),"",VLOOKUP($C112,'START LİSTE'!$B$6:$F$1025,4,0))</f>
      </c>
      <c r="F112" s="131">
        <f>IF(ISERROR(VLOOKUP($C112,'FERDİ SONUÇ'!$B$6:$H$1069,6,0)),"",VLOOKUP($C112,'FERDİ SONUÇ'!$B$6:$H$1069,6,0))</f>
      </c>
      <c r="G112" s="132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10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>
      <c r="A113" s="126"/>
      <c r="B113" s="127"/>
      <c r="C113" s="128" t="e">
        <f>IF(A112="","",INDEX('TAKIM KAYIT'!$D$6:$D$125,MATCH(C112,'TAKIM KAYIT'!$D$6:$D$125,0)+1))</f>
        <v>#NUM!</v>
      </c>
      <c r="D113" s="129">
        <f>IF(ISERROR(VLOOKUP($C113,'START LİSTE'!$B$6:$F$1025,2,0)),"",VLOOKUP($C113,'START LİSTE'!$B$6:$F$1025,2,0))</f>
      </c>
      <c r="E113" s="130">
        <f>IF(ISERROR(VLOOKUP($C113,'START LİSTE'!$B$6:$F$1025,4,0)),"",VLOOKUP($C113,'START LİSTE'!$B$6:$F$1025,4,0))</f>
      </c>
      <c r="F113" s="131">
        <f>IF(ISERROR(VLOOKUP($C113,'FERDİ SONUÇ'!$B$6:$H$1069,6,0)),"",VLOOKUP($C113,'FERDİ SONUÇ'!$B$6:$H$1069,6,0))</f>
      </c>
      <c r="G113" s="132" t="str">
        <f>IF(OR(E113="",F113="DQ",F113="DNF",F113="DNS",F113=""),"-",VLOOKUP(C113,'FERDİ SONUÇ'!$B$6:$H$1069,7,0))</f>
        <v>-</v>
      </c>
      <c r="H113" s="150"/>
      <c r="I113" s="150"/>
      <c r="J113" s="150"/>
      <c r="K113" s="146"/>
    </row>
    <row r="114" spans="1:11" ht="14.25">
      <c r="A114" s="119"/>
      <c r="B114" s="120"/>
      <c r="C114" s="121" t="e">
        <f>IF(A116="","",INDEX('TAKIM KAYIT'!$D$6:$D$125,MATCH(C116,'TAKIM KAYIT'!$D$6:$D$125,0)-2))</f>
        <v>#NUM!</v>
      </c>
      <c r="D114" s="122">
        <f>IF(ISERROR(VLOOKUP($C114,'START LİSTE'!$B$6:$F$1025,2,0)),"",VLOOKUP($C114,'START LİSTE'!$B$6:$F$1025,2,0))</f>
      </c>
      <c r="E114" s="123">
        <f>IF(ISERROR(VLOOKUP($C114,'START LİSTE'!$B$6:$F$1025,4,0)),"",VLOOKUP($C114,'START LİSTE'!$B$6:$F$1025,4,0))</f>
      </c>
      <c r="F114" s="124">
        <f>IF(ISERROR(VLOOKUP($C114,'FERDİ SONUÇ'!$B$6:$H$1069,6,0)),"",VLOOKUP($C114,'FERDİ SONUÇ'!$B$6:$H$1069,6,0))</f>
      </c>
      <c r="G114" s="125" t="str">
        <f>IF(OR(E114="",F114="DQ",F114="DNF",F114="DNS",F114=""),"-",VLOOKUP(C114,'FERDİ SONUÇ'!$B$6:$H$1069,7,0))</f>
        <v>-</v>
      </c>
      <c r="H114" s="149"/>
      <c r="I114" s="149"/>
      <c r="J114" s="149"/>
      <c r="K114" s="145"/>
    </row>
    <row r="115" spans="1:11" ht="14.25">
      <c r="A115" s="126"/>
      <c r="B115" s="127"/>
      <c r="C115" s="128" t="e">
        <f>IF(A116="","",INDEX('TAKIM KAYIT'!$D$6:$D$125,MATCH(C116,'TAKIM KAYIT'!$D$6:$D$125,0)-1))</f>
        <v>#NUM!</v>
      </c>
      <c r="D115" s="129">
        <f>IF(ISERROR(VLOOKUP($C115,'START LİSTE'!$B$6:$F$1025,2,0)),"",VLOOKUP($C115,'START LİSTE'!$B$6:$F$1025,2,0))</f>
      </c>
      <c r="E115" s="130">
        <f>IF(ISERROR(VLOOKUP($C115,'START LİSTE'!$B$6:$F$1025,4,0)),"",VLOOKUP($C115,'START LİSTE'!$B$6:$F$1025,4,0))</f>
      </c>
      <c r="F115" s="131">
        <f>IF(ISERROR(VLOOKUP($C115,'FERDİ SONUÇ'!$B$6:$H$1069,6,0)),"",VLOOKUP($C115,'FERDİ SONUÇ'!$B$6:$H$1069,6,0))</f>
      </c>
      <c r="G115" s="132" t="str">
        <f>IF(OR(E115="",F115="DQ",F115="DNF",F115="DNS",F115=""),"-",VLOOKUP(C115,'FERDİ SONUÇ'!$B$6:$H$1069,7,0))</f>
        <v>-</v>
      </c>
      <c r="H115" s="150"/>
      <c r="I115" s="150"/>
      <c r="J115" s="150"/>
      <c r="K115" s="146"/>
    </row>
    <row r="116" spans="1:11" ht="15.75">
      <c r="A116" s="126" t="e">
        <f>IF(ISERROR(SMALL('TAKIM KAYIT'!$A$6:$A$125,1)),"",SMALL('TAKIM KAYIT'!$A$6:$A$125,28))</f>
        <v>#NUM!</v>
      </c>
      <c r="B116" s="127" t="e">
        <f>IF(A116="","",VLOOKUP(A116,'TAKIM KAYIT'!$A$6:$O$1250,3,0))</f>
        <v>#NUM!</v>
      </c>
      <c r="C116" s="128" t="e">
        <f>IF(A116="","",VLOOKUP(A116,'TAKIM KAYIT'!$B$6:$O$125,3,FALSE))</f>
        <v>#NUM!</v>
      </c>
      <c r="D116" s="129">
        <f>IF(ISERROR(VLOOKUP($C116,'START LİSTE'!$B$6:$F$1025,2,0)),"",VLOOKUP($C116,'START LİSTE'!$B$6:$F$1025,2,0))</f>
      </c>
      <c r="E116" s="130">
        <f>IF(ISERROR(VLOOKUP($C116,'START LİSTE'!$B$6:$F$1025,4,0)),"",VLOOKUP($C116,'START LİSTE'!$B$6:$F$1025,4,0))</f>
      </c>
      <c r="F116" s="131">
        <f>IF(ISERROR(VLOOKUP($C116,'FERDİ SONUÇ'!$B$6:$H$1069,6,0)),"",VLOOKUP($C116,'FERDİ SONUÇ'!$B$6:$H$1069,6,0))</f>
      </c>
      <c r="G116" s="132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10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>
      <c r="A117" s="126"/>
      <c r="B117" s="127"/>
      <c r="C117" s="128" t="e">
        <f>IF(A116="","",INDEX('TAKIM KAYIT'!$D$6:$D$125,MATCH(C116,'TAKIM KAYIT'!$D$6:$D$125,0)+1))</f>
        <v>#NUM!</v>
      </c>
      <c r="D117" s="129">
        <f>IF(ISERROR(VLOOKUP($C117,'START LİSTE'!$B$6:$F$1025,2,0)),"",VLOOKUP($C117,'START LİSTE'!$B$6:$F$1025,2,0))</f>
      </c>
      <c r="E117" s="130">
        <f>IF(ISERROR(VLOOKUP($C117,'START LİSTE'!$B$6:$F$1025,4,0)),"",VLOOKUP($C117,'START LİSTE'!$B$6:$F$1025,4,0))</f>
      </c>
      <c r="F117" s="131">
        <f>IF(ISERROR(VLOOKUP($C117,'FERDİ SONUÇ'!$B$6:$H$1069,6,0)),"",VLOOKUP($C117,'FERDİ SONUÇ'!$B$6:$H$1069,6,0))</f>
      </c>
      <c r="G117" s="132" t="str">
        <f>IF(OR(E117="",F117="DQ",F117="DNF",F117="DNS",F117=""),"-",VLOOKUP(C117,'FERDİ SONUÇ'!$B$6:$H$1069,7,0))</f>
        <v>-</v>
      </c>
      <c r="H117" s="150"/>
      <c r="I117" s="150"/>
      <c r="J117" s="150"/>
      <c r="K117" s="146"/>
    </row>
    <row r="118" spans="1:11" ht="14.25">
      <c r="A118" s="119"/>
      <c r="B118" s="120"/>
      <c r="C118" s="121" t="e">
        <f>IF(A120="","",INDEX('TAKIM KAYIT'!$D$6:$D$125,MATCH(C120,'TAKIM KAYIT'!$D$6:$D$125,0)-2))</f>
        <v>#NUM!</v>
      </c>
      <c r="D118" s="122">
        <f>IF(ISERROR(VLOOKUP($C118,'START LİSTE'!$B$6:$F$1025,2,0)),"",VLOOKUP($C118,'START LİSTE'!$B$6:$F$1025,2,0))</f>
      </c>
      <c r="E118" s="123">
        <f>IF(ISERROR(VLOOKUP($C118,'START LİSTE'!$B$6:$F$1025,4,0)),"",VLOOKUP($C118,'START LİSTE'!$B$6:$F$1025,4,0))</f>
      </c>
      <c r="F118" s="124">
        <f>IF(ISERROR(VLOOKUP($C118,'FERDİ SONUÇ'!$B$6:$H$1069,6,0)),"",VLOOKUP($C118,'FERDİ SONUÇ'!$B$6:$H$1069,6,0))</f>
      </c>
      <c r="G118" s="125" t="str">
        <f>IF(OR(E118="",F118="DQ",F118="DNF",F118="DNS",F118=""),"-",VLOOKUP(C118,'FERDİ SONUÇ'!$B$6:$H$1069,7,0))</f>
        <v>-</v>
      </c>
      <c r="H118" s="149"/>
      <c r="I118" s="149"/>
      <c r="J118" s="149"/>
      <c r="K118" s="145"/>
    </row>
    <row r="119" spans="1:11" ht="14.25">
      <c r="A119" s="126"/>
      <c r="B119" s="127"/>
      <c r="C119" s="128" t="e">
        <f>IF(A120="","",INDEX('TAKIM KAYIT'!$D$6:$D$125,MATCH(C120,'TAKIM KAYIT'!$D$6:$D$125,0)-1))</f>
        <v>#NUM!</v>
      </c>
      <c r="D119" s="129">
        <f>IF(ISERROR(VLOOKUP($C119,'START LİSTE'!$B$6:$F$1025,2,0)),"",VLOOKUP($C119,'START LİSTE'!$B$6:$F$1025,2,0))</f>
      </c>
      <c r="E119" s="130">
        <f>IF(ISERROR(VLOOKUP($C119,'START LİSTE'!$B$6:$F$1025,4,0)),"",VLOOKUP($C119,'START LİSTE'!$B$6:$F$1025,4,0))</f>
      </c>
      <c r="F119" s="131">
        <f>IF(ISERROR(VLOOKUP($C119,'FERDİ SONUÇ'!$B$6:$H$1069,6,0)),"",VLOOKUP($C119,'FERDİ SONUÇ'!$B$6:$H$1069,6,0))</f>
      </c>
      <c r="G119" s="132" t="str">
        <f>IF(OR(E119="",F119="DQ",F119="DNF",F119="DNS",F119=""),"-",VLOOKUP(C119,'FERDİ SONUÇ'!$B$6:$H$1069,7,0))</f>
        <v>-</v>
      </c>
      <c r="H119" s="150"/>
      <c r="I119" s="150"/>
      <c r="J119" s="150"/>
      <c r="K119" s="146"/>
    </row>
    <row r="120" spans="1:11" ht="15.75">
      <c r="A120" s="126" t="e">
        <f>IF(ISERROR(SMALL('TAKIM KAYIT'!$A$6:$A$125,1)),"",SMALL('TAKIM KAYIT'!$A$6:$A$125,29))</f>
        <v>#NUM!</v>
      </c>
      <c r="B120" s="127" t="e">
        <f>IF(A120="","",VLOOKUP(A120,'TAKIM KAYIT'!$A$6:$O$1250,3,0))</f>
        <v>#NUM!</v>
      </c>
      <c r="C120" s="128" t="e">
        <f>IF(A120="","",VLOOKUP(A120,'TAKIM KAYIT'!$B$6:$O$125,3,FALSE))</f>
        <v>#NUM!</v>
      </c>
      <c r="D120" s="129">
        <f>IF(ISERROR(VLOOKUP($C120,'START LİSTE'!$B$6:$F$1025,2,0)),"",VLOOKUP($C120,'START LİSTE'!$B$6:$F$1025,2,0))</f>
      </c>
      <c r="E120" s="130">
        <f>IF(ISERROR(VLOOKUP($C120,'START LİSTE'!$B$6:$F$1025,4,0)),"",VLOOKUP($C120,'START LİSTE'!$B$6:$F$1025,4,0))</f>
      </c>
      <c r="F120" s="131">
        <f>IF(ISERROR(VLOOKUP($C120,'FERDİ SONUÇ'!$B$6:$H$1069,6,0)),"",VLOOKUP($C120,'FERDİ SONUÇ'!$B$6:$H$1069,6,0))</f>
      </c>
      <c r="G120" s="132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10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>
      <c r="A121" s="126"/>
      <c r="B121" s="127"/>
      <c r="C121" s="128" t="e">
        <f>IF(A120="","",INDEX('TAKIM KAYIT'!$D$6:$D$125,MATCH(C120,'TAKIM KAYIT'!$D$6:$D$125,0)+1))</f>
        <v>#NUM!</v>
      </c>
      <c r="D121" s="129">
        <f>IF(ISERROR(VLOOKUP($C121,'START LİSTE'!$B$6:$F$1025,2,0)),"",VLOOKUP($C121,'START LİSTE'!$B$6:$F$1025,2,0))</f>
      </c>
      <c r="E121" s="130">
        <f>IF(ISERROR(VLOOKUP($C121,'START LİSTE'!$B$6:$F$1025,4,0)),"",VLOOKUP($C121,'START LİSTE'!$B$6:$F$1025,4,0))</f>
      </c>
      <c r="F121" s="131">
        <f>IF(ISERROR(VLOOKUP($C121,'FERDİ SONUÇ'!$B$6:$H$1069,6,0)),"",VLOOKUP($C121,'FERDİ SONUÇ'!$B$6:$H$1069,6,0))</f>
      </c>
      <c r="G121" s="132" t="str">
        <f>IF(OR(E121="",F121="DQ",F121="DNF",F121="DNS",F121=""),"-",VLOOKUP(C121,'FERDİ SONUÇ'!$B$6:$H$1069,7,0))</f>
        <v>-</v>
      </c>
      <c r="H121" s="150"/>
      <c r="I121" s="150"/>
      <c r="J121" s="150"/>
      <c r="K121" s="146"/>
    </row>
    <row r="122" spans="1:11" ht="14.25">
      <c r="A122" s="119"/>
      <c r="B122" s="120"/>
      <c r="C122" s="121" t="e">
        <f>IF(A124="","",INDEX('TAKIM KAYIT'!$D$6:$D$125,MATCH(C124,'TAKIM KAYIT'!$D$6:$D$125,0)-2))</f>
        <v>#NUM!</v>
      </c>
      <c r="D122" s="122">
        <f>IF(ISERROR(VLOOKUP($C122,'START LİSTE'!$B$6:$F$1025,2,0)),"",VLOOKUP($C122,'START LİSTE'!$B$6:$F$1025,2,0))</f>
      </c>
      <c r="E122" s="123">
        <f>IF(ISERROR(VLOOKUP($C122,'START LİSTE'!$B$6:$F$1025,4,0)),"",VLOOKUP($C122,'START LİSTE'!$B$6:$F$1025,4,0))</f>
      </c>
      <c r="F122" s="124">
        <f>IF(ISERROR(VLOOKUP($C122,'FERDİ SONUÇ'!$B$6:$H$1069,6,0)),"",VLOOKUP($C122,'FERDİ SONUÇ'!$B$6:$H$1069,6,0))</f>
      </c>
      <c r="G122" s="125" t="str">
        <f>IF(OR(E122="",F122="DQ",F122="DNF",F122="DNS",F122=""),"-",VLOOKUP(C122,'FERDİ SONUÇ'!$B$6:$H$1069,7,0))</f>
        <v>-</v>
      </c>
      <c r="H122" s="149"/>
      <c r="I122" s="149"/>
      <c r="J122" s="149"/>
      <c r="K122" s="145"/>
    </row>
    <row r="123" spans="1:11" ht="14.25">
      <c r="A123" s="126"/>
      <c r="B123" s="127"/>
      <c r="C123" s="128" t="e">
        <f>IF(A124="","",INDEX('TAKIM KAYIT'!$D$6:$D$125,MATCH(C124,'TAKIM KAYIT'!$D$6:$D$125,0)-1))</f>
        <v>#NUM!</v>
      </c>
      <c r="D123" s="129">
        <f>IF(ISERROR(VLOOKUP($C123,'START LİSTE'!$B$6:$F$1025,2,0)),"",VLOOKUP($C123,'START LİSTE'!$B$6:$F$1025,2,0))</f>
      </c>
      <c r="E123" s="130">
        <f>IF(ISERROR(VLOOKUP($C123,'START LİSTE'!$B$6:$F$1025,4,0)),"",VLOOKUP($C123,'START LİSTE'!$B$6:$F$1025,4,0))</f>
      </c>
      <c r="F123" s="131">
        <f>IF(ISERROR(VLOOKUP($C123,'FERDİ SONUÇ'!$B$6:$H$1069,6,0)),"",VLOOKUP($C123,'FERDİ SONUÇ'!$B$6:$H$1069,6,0))</f>
      </c>
      <c r="G123" s="132" t="str">
        <f>IF(OR(E123="",F123="DQ",F123="DNF",F123="DNS",F123=""),"-",VLOOKUP(C123,'FERDİ SONUÇ'!$B$6:$H$1069,7,0))</f>
        <v>-</v>
      </c>
      <c r="H123" s="150"/>
      <c r="I123" s="150"/>
      <c r="J123" s="150"/>
      <c r="K123" s="146"/>
    </row>
    <row r="124" spans="1:11" ht="15.75">
      <c r="A124" s="126" t="e">
        <f>IF(ISERROR(SMALL('TAKIM KAYIT'!$A$6:$A$125,1)),"",SMALL('TAKIM KAYIT'!$A$6:$A$125,30))</f>
        <v>#NUM!</v>
      </c>
      <c r="B124" s="127" t="e">
        <f>IF(A124="","",VLOOKUP(A124,'TAKIM KAYIT'!$A$6:$O$1250,3,0))</f>
        <v>#NUM!</v>
      </c>
      <c r="C124" s="128" t="e">
        <f>IF(A124="","",VLOOKUP(A124,'TAKIM KAYIT'!$B$6:$O$125,3,FALSE))</f>
        <v>#NUM!</v>
      </c>
      <c r="D124" s="129">
        <f>IF(ISERROR(VLOOKUP($C124,'START LİSTE'!$B$6:$F$1025,2,0)),"",VLOOKUP($C124,'START LİSTE'!$B$6:$F$1025,2,0))</f>
      </c>
      <c r="E124" s="130">
        <f>IF(ISERROR(VLOOKUP($C124,'START LİSTE'!$B$6:$F$1025,4,0)),"",VLOOKUP($C124,'START LİSTE'!$B$6:$F$1025,4,0))</f>
      </c>
      <c r="F124" s="131">
        <f>IF(ISERROR(VLOOKUP($C124,'FERDİ SONUÇ'!$B$6:$H$1069,6,0)),"",VLOOKUP($C124,'FERDİ SONUÇ'!$B$6:$H$1069,6,0))</f>
      </c>
      <c r="G124" s="132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10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>
      <c r="A125" s="126"/>
      <c r="B125" s="127"/>
      <c r="C125" s="128" t="e">
        <f>IF(A124="","",INDEX('TAKIM KAYIT'!$D$6:$D$125,MATCH(C124,'TAKIM KAYIT'!$D$6:$D$125,0)+1))</f>
        <v>#NUM!</v>
      </c>
      <c r="D125" s="129">
        <f>IF(ISERROR(VLOOKUP($C125,'START LİSTE'!$B$6:$F$1025,2,0)),"",VLOOKUP($C125,'START LİSTE'!$B$6:$F$1025,2,0))</f>
      </c>
      <c r="E125" s="130">
        <f>IF(ISERROR(VLOOKUP($C125,'START LİSTE'!$B$6:$F$1025,4,0)),"",VLOOKUP($C125,'START LİSTE'!$B$6:$F$1025,4,0))</f>
      </c>
      <c r="F125" s="131">
        <f>IF(ISERROR(VLOOKUP($C125,'FERDİ SONUÇ'!$B$6:$H$1069,6,0)),"",VLOOKUP($C125,'FERDİ SONUÇ'!$B$6:$H$1069,6,0))</f>
      </c>
      <c r="G125" s="132" t="str">
        <f>IF(OR(E125="",F125="DQ",F125="DNF",F125="DNS",F125=""),"-",VLOOKUP(C125,'FERDİ SONUÇ'!$B$6:$H$1069,7,0))</f>
        <v>-</v>
      </c>
      <c r="H125" s="150"/>
      <c r="I125" s="150"/>
      <c r="J125" s="150"/>
      <c r="K125" s="146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2014-10-26T09:15:18Z</cp:lastPrinted>
  <dcterms:created xsi:type="dcterms:W3CDTF">2008-08-11T14:10:37Z</dcterms:created>
  <dcterms:modified xsi:type="dcterms:W3CDTF">2014-10-26T20:29:47Z</dcterms:modified>
  <cp:category/>
  <cp:version/>
  <cp:contentType/>
  <cp:contentStatus/>
</cp:coreProperties>
</file>