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894" activeTab="2"/>
  </bookViews>
  <sheets>
    <sheet name="KAPAK" sheetId="1" r:id="rId1"/>
    <sheet name="START LİSTE" sheetId="2" r:id="rId2"/>
    <sheet name="FERDİ SONUÇ" sheetId="3" r:id="rId3"/>
    <sheet name="TAKIM KAYIT" sheetId="4"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SONUÇ'!$A$1:$H$120</definedName>
    <definedName name="_xlnm.Print_Area" localSheetId="1">'START LİSTE'!$A$1:$F$129</definedName>
    <definedName name="_xlnm.Print_Area" localSheetId="3">'TAKIM KAYIT'!$A$1:$J$245</definedName>
    <definedName name="_xlnm.Print_Area" localSheetId="4">'TAKIM SONUÇ'!$A$1:$H$117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<sst xmlns="http://schemas.openxmlformats.org/spreadsheetml/2006/main" count="935" uniqueCount="195">
  <si>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</si>
  <si>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</si>
  <si>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</si>
  <si>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</si>
  <si>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</si>
  <si>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</si>
  <si>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</si>
  <si>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</si>
  <si>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</si>
  <si>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</si>
  <si>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</si>
  <si>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</si>
  <si>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</si>
  <si>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</si>
  <si>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</si>
  <si>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</si>
  <si>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</si>
  <si>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</si>
  <si>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</si>
  <si>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</si>
  <si>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</si>
  <si>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</si>
  <si>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</si>
  <si>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</si>
  <si>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</si>
  <si>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</si>
  <si>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</si>
  <si>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Atatürk'ü Anma Kros Yarışmaları</t>
  </si>
  <si>
    <t>Ankara</t>
  </si>
  <si>
    <t>İli - Kulüp/Okul Adı</t>
  </si>
  <si>
    <r>
      <t xml:space="preserve">Türkiye Atletizm Federasyonu
</t>
    </r>
    <r>
      <rPr>
        <b/>
        <sz val="13"/>
        <color indexed="10"/>
        <rFont val="Cambria"/>
        <family val="1"/>
      </rPr>
      <t>Ankara Atletizm İl Temsilciliği</t>
    </r>
  </si>
  <si>
    <t>T</t>
  </si>
  <si>
    <t>-</t>
  </si>
  <si>
    <t>BALIKESİR İL KARMASI</t>
  </si>
  <si>
    <t>ARDAHAN</t>
  </si>
  <si>
    <t>F</t>
  </si>
  <si>
    <t>DİYARBAKIR</t>
  </si>
  <si>
    <t>ISPARTA</t>
  </si>
  <si>
    <t>FERHAT KERELTİ</t>
  </si>
  <si>
    <t>GÖKDENİZ TEKİN</t>
  </si>
  <si>
    <t>BAKİ GÜLER</t>
  </si>
  <si>
    <t>ENBİYA YAZICI</t>
  </si>
  <si>
    <t>MERT ÇAVUŞ</t>
  </si>
  <si>
    <t>DÜZCE</t>
  </si>
  <si>
    <t>ESKİŞEHİR</t>
  </si>
  <si>
    <t>MUŞ</t>
  </si>
  <si>
    <t>OSMANİYE</t>
  </si>
  <si>
    <t>Küçük Erkek</t>
  </si>
  <si>
    <t>FATİH YAĞMUR</t>
  </si>
  <si>
    <t>AĞRI</t>
  </si>
  <si>
    <t>OKTAY BOZTEPE</t>
  </si>
  <si>
    <t>CANER TAŞ</t>
  </si>
  <si>
    <t>AZAT TAŞDEMİR</t>
  </si>
  <si>
    <t>NEJDET DİKER</t>
  </si>
  <si>
    <t>AKSARAY</t>
  </si>
  <si>
    <t>MERT MUSA DİKER</t>
  </si>
  <si>
    <t>ALİ ÖZKARA</t>
  </si>
  <si>
    <t>YAKUP YETİKER</t>
  </si>
  <si>
    <t>ANKARA İL KARMASI</t>
  </si>
  <si>
    <t>ALPEREN ÖZDEMİR</t>
  </si>
  <si>
    <t>YUSUF CAPAR</t>
  </si>
  <si>
    <t>YİĞİT GÖKMEN</t>
  </si>
  <si>
    <t>ALPER YILDIRIM</t>
  </si>
  <si>
    <t>ANTALYA</t>
  </si>
  <si>
    <t>ALPEREN AKTAŞ</t>
  </si>
  <si>
    <t>GÖKSEL MIH</t>
  </si>
  <si>
    <t>HALİL KÖMÜR</t>
  </si>
  <si>
    <t>ÜMİTCAN KÖROĞLU</t>
  </si>
  <si>
    <t>MERTCAN TORUN</t>
  </si>
  <si>
    <t>HAKAN TUNÇ</t>
  </si>
  <si>
    <t>CENKER SAVAŞ</t>
  </si>
  <si>
    <t>EREN EMÜL</t>
  </si>
  <si>
    <t>ŞAHİN DURMAZ</t>
  </si>
  <si>
    <t>BATMAN</t>
  </si>
  <si>
    <t>NURULLAH İNAL</t>
  </si>
  <si>
    <t>HARUN AL</t>
  </si>
  <si>
    <t>ÖMER YILDIRIM</t>
  </si>
  <si>
    <t>BİNGÖL</t>
  </si>
  <si>
    <t>RECEP KENBER</t>
  </si>
  <si>
    <t>ÖZGÜR İLHAN</t>
  </si>
  <si>
    <t>YUSUF ELELÇİ</t>
  </si>
  <si>
    <t>FERHAT PEKMEZ</t>
  </si>
  <si>
    <t>CEBRAİL AYKAÇ</t>
  </si>
  <si>
    <t>BÜNYAMİN BÖRTEN</t>
  </si>
  <si>
    <t>UĞUR  BAYRAM</t>
  </si>
  <si>
    <t>FERHAT GÜNDÜZ</t>
  </si>
  <si>
    <t>AZİZCAN BERBER</t>
  </si>
  <si>
    <t>DURMUŞCAN ARICI</t>
  </si>
  <si>
    <t>EMİRHAN DİNER</t>
  </si>
  <si>
    <t>ÖMER SEDAR CAN</t>
  </si>
  <si>
    <t>ELAZIĞ</t>
  </si>
  <si>
    <t>ABDULLAH KILIÇ</t>
  </si>
  <si>
    <t>MUSA ÖZDEMİR</t>
  </si>
  <si>
    <t>ZÜLKÜF ZEREN</t>
  </si>
  <si>
    <t>ONUR AZİZ CAN</t>
  </si>
  <si>
    <t>ERZİNCAN</t>
  </si>
  <si>
    <t>ENES KELEŞ</t>
  </si>
  <si>
    <t>YAKUP KELEŞ</t>
  </si>
  <si>
    <t>TAHİR YILDIRIM</t>
  </si>
  <si>
    <t>ÖZKAN DENİZ</t>
  </si>
  <si>
    <t>ERZURUM</t>
  </si>
  <si>
    <t>MENSUR ÖZDEMİR</t>
  </si>
  <si>
    <t>FERHAT TAŞDEMİR</t>
  </si>
  <si>
    <t>YUSUF TALHA YALÇINKAYA</t>
  </si>
  <si>
    <t>İLHAN ACAR</t>
  </si>
  <si>
    <t>MESUT ÖZKAYA</t>
  </si>
  <si>
    <t>AHMET KELEK</t>
  </si>
  <si>
    <t>ESKİŞEHİR İL KARMASI</t>
  </si>
  <si>
    <t>YAŞAR EMRE KOŞDAŞ</t>
  </si>
  <si>
    <t>UMUR ÇAKLI</t>
  </si>
  <si>
    <t>EGE GÜMÜŞ</t>
  </si>
  <si>
    <t>SERKAN ÇEKMEZ</t>
  </si>
  <si>
    <t>ISPARTA-İL KARMASI</t>
  </si>
  <si>
    <t>EMİR YILMAZ</t>
  </si>
  <si>
    <t>MUSTAFA YILMAZ</t>
  </si>
  <si>
    <t>MUHAMMED FURKAN</t>
  </si>
  <si>
    <t>BEHÇET GÜLTEKİN</t>
  </si>
  <si>
    <t>İSTANBUL İL KARMASI</t>
  </si>
  <si>
    <t>UMUT GÜLTEKİN</t>
  </si>
  <si>
    <t>BARIŞ GÜNEŞ</t>
  </si>
  <si>
    <t>RECEP KARABATAK</t>
  </si>
  <si>
    <t>YASİN ŞAHİNGÖZ</t>
  </si>
  <si>
    <t>KIRIKKALE</t>
  </si>
  <si>
    <t>UMUT KARSÖKEN</t>
  </si>
  <si>
    <t>MERT ARSLAN</t>
  </si>
  <si>
    <t>YASİN ŞAHİN</t>
  </si>
  <si>
    <t>KIRŞEHİR</t>
  </si>
  <si>
    <t>MUHAMMET HALİT TAŞ</t>
  </si>
  <si>
    <t>GÖKHAN GÖK</t>
  </si>
  <si>
    <t>SAMET TAŞKIN</t>
  </si>
  <si>
    <t>KOCAELİ</t>
  </si>
  <si>
    <t>25,12,2004</t>
  </si>
  <si>
    <t>ÖMER YAVRUTÜRK</t>
  </si>
  <si>
    <t>16,05,2003</t>
  </si>
  <si>
    <t>YİĞİT KAHRAMAN</t>
  </si>
  <si>
    <t>HAMİT BİRLİK</t>
  </si>
  <si>
    <t>26,01,2003</t>
  </si>
  <si>
    <t>AHMET EMRE DEVELİ</t>
  </si>
  <si>
    <t>KÜTAHYA</t>
  </si>
  <si>
    <t>MURAT KÖSE</t>
  </si>
  <si>
    <t>MUSTAFA MUŞTU</t>
  </si>
  <si>
    <t>İBRAHİM AYGÜN</t>
  </si>
  <si>
    <t>ERAY GÖL</t>
  </si>
  <si>
    <t xml:space="preserve">MANİSA </t>
  </si>
  <si>
    <t>AHMET AKARSU</t>
  </si>
  <si>
    <t>ERDEM ŞENTÜRK</t>
  </si>
  <si>
    <t>MARDİN</t>
  </si>
  <si>
    <t>ABDULLAH ÖZMEN</t>
  </si>
  <si>
    <t>HASAN ÇAÇA</t>
  </si>
  <si>
    <t>EMİR HAN BİSEN</t>
  </si>
  <si>
    <t>SAMET SIRAKAYA</t>
  </si>
  <si>
    <t xml:space="preserve">NEVŞEHİR </t>
  </si>
  <si>
    <t>EMİRCAN ŞENGÜL</t>
  </si>
  <si>
    <t xml:space="preserve">ÜNAL YILMAZ </t>
  </si>
  <si>
    <t xml:space="preserve">SERHAT GEÇKİN </t>
  </si>
  <si>
    <t>UMUTCAN EROZAN</t>
  </si>
  <si>
    <t>NİĞDE</t>
  </si>
  <si>
    <t>FARUK ŞİMŞİEK</t>
  </si>
  <si>
    <t>MEHMET SEFA TIKIR</t>
  </si>
  <si>
    <t>ALİ CEYHAN</t>
  </si>
  <si>
    <t>RAMAZAN TETİK</t>
  </si>
  <si>
    <t>SİİRT</t>
  </si>
  <si>
    <t>UĞUR TAŞ</t>
  </si>
  <si>
    <t>MUSTAFA GÜRHAN</t>
  </si>
  <si>
    <t>DOĞAN KALKAN</t>
  </si>
  <si>
    <t>TUNAHAN KARGI</t>
  </si>
  <si>
    <t>TOKAT İL KARMASI</t>
  </si>
  <si>
    <t>SEMİH SARI</t>
  </si>
  <si>
    <t>ÇAĞLAR KARADAĞ</t>
  </si>
  <si>
    <t>ŞİDAR ÖZDEMİR</t>
  </si>
  <si>
    <t>BİTLİS 8AĞUSTOS İLK ÖĞRETİM OKULU</t>
  </si>
  <si>
    <t>MUHAMMET ALİ ÇİÇEK</t>
  </si>
  <si>
    <t>HATAY</t>
  </si>
  <si>
    <t>ABDULLAH FINDIK</t>
  </si>
  <si>
    <t>SÜLEYMAN ÇELİK</t>
  </si>
  <si>
    <t>ALİŞAN ÖZTÜRK</t>
  </si>
  <si>
    <t>KARS</t>
  </si>
  <si>
    <t>PİRDOĞAN BURHANLI</t>
  </si>
  <si>
    <t>MESNA ARSLAN</t>
  </si>
  <si>
    <t xml:space="preserve">ONUR KADIOĞLU </t>
  </si>
  <si>
    <t>FURKAN AKKOÇ</t>
  </si>
  <si>
    <t>İBRAHİM KAYA</t>
  </si>
  <si>
    <t>ŞANLIURFA</t>
  </si>
  <si>
    <t>SAMET ENTERİLİ</t>
  </si>
  <si>
    <t>VAN</t>
  </si>
  <si>
    <t>Sporcu Sayısı</t>
  </si>
  <si>
    <t>Takım Sayısı</t>
  </si>
  <si>
    <t>2 Km.</t>
  </si>
  <si>
    <t>SİVAS İL KARMASI</t>
  </si>
  <si>
    <t>RAHMİ DOĞAN</t>
  </si>
  <si>
    <t>EMRE YILMAZ</t>
  </si>
  <si>
    <t>AHMET KARA</t>
  </si>
  <si>
    <t>DNS</t>
  </si>
  <si>
    <t>DNF</t>
  </si>
  <si>
    <t>DQ</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</si>
</sst>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41F]d\ mmmm\ yyyy\ dddd"/>
    <numFmt numFmtId="188" formatCode="mmm/yyyy"/>
  </numFmts>
  <fonts count="7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8"/>
      <name val="Cambria"/>
      <family val="1"/>
    </font>
    <font>
      <b/>
      <sz val="14"/>
      <color indexed="8"/>
      <name val="Cambria"/>
      <family val="1"/>
    </font>
    <font>
      <b/>
      <sz val="13"/>
      <color indexed="10"/>
      <name val="Cambria"/>
      <family val="1"/>
    </font>
    <font>
      <b/>
      <sz val="18"/>
      <color indexed="10"/>
      <name val="Cambria"/>
      <family val="1"/>
    </font>
    <font>
      <b/>
      <sz val="9"/>
      <name val="Cambria"/>
      <family val="1"/>
    </font>
    <font>
      <b/>
      <sz val="8"/>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b/>
      <sz val="22"/>
      <color indexed="56"/>
      <name val="Cambria"/>
      <family val="1"/>
    </font>
    <font>
      <b/>
      <sz val="12"/>
      <color indexed="10"/>
      <name val="Cambria"/>
      <family val="1"/>
    </font>
    <font>
      <b/>
      <sz val="11"/>
      <color indexed="8"/>
      <name val="Cambria"/>
      <family val="1"/>
    </font>
    <font>
      <sz val="12"/>
      <name val="Cambria"/>
      <family val="1"/>
    </font>
    <font>
      <b/>
      <sz val="10"/>
      <color indexed="10"/>
      <name val="Cambria"/>
      <family val="1"/>
    </font>
    <font>
      <sz val="12"/>
      <color indexed="8"/>
      <name val="Cambria"/>
      <family val="1"/>
    </font>
    <font>
      <sz val="12"/>
      <color indexed="9"/>
      <name val="Cambria"/>
      <family val="1"/>
    </font>
    <font>
      <sz val="11"/>
      <name val="Cambria"/>
      <family val="1"/>
    </font>
    <font>
      <b/>
      <sz val="11"/>
      <color indexed="10"/>
      <name val="Cambria"/>
      <family val="1"/>
    </font>
    <font>
      <sz val="14"/>
      <name val="Cambria"/>
      <family val="1"/>
    </font>
    <font>
      <sz val="14"/>
      <color indexed="9"/>
      <name val="Cambria"/>
      <family val="1"/>
    </font>
    <font>
      <sz val="12"/>
      <color indexed="30"/>
      <name val="Cambria"/>
      <family val="1"/>
    </font>
    <font>
      <b/>
      <sz val="10"/>
      <color indexed="56"/>
      <name val="Cambria"/>
      <family val="1"/>
    </font>
    <font>
      <b/>
      <sz val="12"/>
      <color indexed="30"/>
      <name val="Cambria"/>
      <family val="1"/>
    </font>
    <font>
      <b/>
      <sz val="12"/>
      <color indexed="56"/>
      <name val="Cambria"/>
      <family val="1"/>
    </font>
    <font>
      <b/>
      <sz val="20"/>
      <color indexed="56"/>
      <name val="Cambria"/>
      <family val="1"/>
    </font>
    <font>
      <b/>
      <sz val="14"/>
      <color indexed="30"/>
      <name val="Cambria"/>
      <family val="1"/>
    </font>
    <font>
      <b/>
      <sz val="12"/>
      <color indexed="8"/>
      <name val="Cambria"/>
      <family val="1"/>
    </font>
    <font>
      <sz val="10"/>
      <color theme="0"/>
      <name val="Cambria"/>
      <family val="1"/>
    </font>
    <font>
      <b/>
      <sz val="18"/>
      <color rgb="FF002060"/>
      <name val="Cambria"/>
      <family val="1"/>
    </font>
    <font>
      <b/>
      <sz val="22"/>
      <color rgb="FF002060"/>
      <name val="Cambria"/>
      <family val="1"/>
    </font>
    <font>
      <b/>
      <sz val="12"/>
      <color rgb="FFFF0000"/>
      <name val="Cambria"/>
      <family val="1"/>
    </font>
    <font>
      <b/>
      <sz val="11"/>
      <color theme="1"/>
      <name val="Cambria"/>
      <family val="1"/>
    </font>
    <font>
      <b/>
      <sz val="10"/>
      <color rgb="FFFF0000"/>
      <name val="Cambria"/>
      <family val="1"/>
    </font>
    <font>
      <sz val="12"/>
      <color theme="0"/>
      <name val="Cambria"/>
      <family val="1"/>
    </font>
    <font>
      <b/>
      <sz val="11"/>
      <color rgb="FFFF0000"/>
      <name val="Cambria"/>
      <family val="1"/>
    </font>
    <font>
      <sz val="14"/>
      <color theme="0"/>
      <name val="Cambria"/>
      <family val="1"/>
    </font>
    <font>
      <sz val="12"/>
      <color rgb="FF0070C0"/>
      <name val="Cambria"/>
      <family val="1"/>
    </font>
    <font>
      <b/>
      <sz val="10"/>
      <color rgb="FF002060"/>
      <name val="Cambria"/>
      <family val="1"/>
    </font>
    <font>
      <b/>
      <sz val="12"/>
      <color rgb="FF0070C0"/>
      <name val="Cambria"/>
      <family val="1"/>
    </font>
    <font>
      <b/>
      <sz val="12"/>
      <color rgb="FF002060"/>
      <name val="Cambria"/>
      <family val="1"/>
    </font>
    <font>
      <b/>
      <sz val="14"/>
      <color theme="1"/>
      <name val="Cambria"/>
      <family val="1"/>
    </font>
    <font>
      <b/>
      <sz val="20"/>
      <color rgb="FF002060"/>
      <name val="Cambria"/>
      <family val="1"/>
    </font>
    <font>
      <b/>
      <sz val="14"/>
      <color rgb="FF0070C0"/>
      <name val="Cambria"/>
      <family val="1"/>
    </font>
    <font>
      <b/>
      <sz val="12"/>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E7FFFF"/>
        <bgColor indexed="64"/>
      </patternFill>
    </fill>
    <fill>
      <patternFill patternType="solid">
        <fgColor rgb="FFFFFFCC"/>
        <bgColor indexed="64"/>
      </patternFill>
    </fill>
    <fill>
      <patternFill patternType="solid">
        <fgColor rgb="FFFFFFE1"/>
        <bgColor indexed="64"/>
      </patternFill>
    </fill>
    <fill>
      <patternFill patternType="solid">
        <fgColor rgb="FFF3FBFF"/>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
      <left style="thin"/>
      <right/>
      <top/>
      <bottom style="dashDot"/>
    </border>
    <border>
      <left/>
      <right/>
      <top/>
      <bottom style="dashDot"/>
    </border>
    <border>
      <left/>
      <right style="thin"/>
      <top/>
      <bottom style="dashDot"/>
    </border>
    <border>
      <left style="thin"/>
      <right style="thin"/>
      <top style="thin"/>
      <bottom style="hair"/>
    </border>
    <border>
      <left/>
      <right style="thin"/>
      <top style="thin"/>
      <bottom style="hair"/>
    </border>
    <border>
      <left style="thin"/>
      <right style="thin"/>
      <top style="hair"/>
      <bottom style="hair"/>
    </border>
    <border>
      <left/>
      <right style="thin"/>
      <top style="hair"/>
      <bottom style="hair"/>
    </border>
    <border>
      <left/>
      <right style="thin"/>
      <top style="hair"/>
      <bottom style="thin"/>
    </border>
    <border>
      <left/>
      <right style="thin"/>
      <top/>
      <bottom style="hair"/>
    </border>
    <border>
      <left style="thin"/>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style="thin"/>
      <bottom style="thin"/>
    </border>
    <border>
      <left/>
      <right style="thin"/>
      <top style="dashDot"/>
      <bottom style="dashDot"/>
    </border>
    <border>
      <left style="dashDot"/>
      <right/>
      <top style="dashDot"/>
      <bottom style="dashDot"/>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00">
    <xf numFmtId="0" fontId="0" fillId="0" borderId="0" xfId="0" applyAlignment="1">
      <alignment/>
    </xf>
    <xf numFmtId="0" fontId="31"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1" fillId="25" borderId="11"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0" fontId="31" fillId="24" borderId="12"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1" fillId="25" borderId="15"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center" vertical="center"/>
      <protection hidden="1"/>
    </xf>
    <xf numFmtId="0" fontId="31" fillId="24" borderId="16" xfId="0" applyNumberFormat="1"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3" fillId="24" borderId="18" xfId="0" applyFont="1" applyFill="1" applyBorder="1" applyAlignment="1" applyProtection="1">
      <alignment horizontal="center" vertical="center"/>
      <protection hidden="1"/>
    </xf>
    <xf numFmtId="0" fontId="31" fillId="25" borderId="19" xfId="0" applyFont="1" applyFill="1" applyBorder="1" applyAlignment="1" applyProtection="1">
      <alignment horizontal="left" vertical="center" shrinkToFit="1"/>
      <protection hidden="1"/>
    </xf>
    <xf numFmtId="0" fontId="31" fillId="24" borderId="20" xfId="0" applyFont="1" applyFill="1" applyBorder="1" applyAlignment="1" applyProtection="1">
      <alignment horizontal="left" vertical="center" shrinkToFit="1"/>
      <protection hidden="1"/>
    </xf>
    <xf numFmtId="0" fontId="31" fillId="24" borderId="20"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0" fontId="33" fillId="24" borderId="19"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0" fontId="34" fillId="26" borderId="14" xfId="0" applyFont="1" applyFill="1" applyBorder="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horizontal="center" vertical="center"/>
    </xf>
    <xf numFmtId="180" fontId="31" fillId="0" borderId="0" xfId="0" applyNumberFormat="1" applyFont="1" applyAlignment="1">
      <alignment vertical="center"/>
    </xf>
    <xf numFmtId="0" fontId="31" fillId="0" borderId="0" xfId="0" applyFont="1" applyBorder="1" applyAlignment="1">
      <alignment vertical="center" wrapText="1"/>
    </xf>
    <xf numFmtId="0" fontId="31" fillId="0" borderId="0" xfId="0" applyFont="1" applyBorder="1" applyAlignment="1">
      <alignment/>
    </xf>
    <xf numFmtId="0" fontId="31" fillId="0" borderId="0" xfId="0" applyFont="1" applyAlignment="1">
      <alignment horizontal="left" vertical="center"/>
    </xf>
    <xf numFmtId="0" fontId="31" fillId="0" borderId="0" xfId="0" applyFont="1" applyFill="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0" fontId="35" fillId="25" borderId="14" xfId="0" applyFont="1" applyFill="1" applyBorder="1" applyAlignment="1" applyProtection="1">
      <alignment horizontal="center" vertical="center"/>
      <protection hidden="1"/>
    </xf>
    <xf numFmtId="0" fontId="22" fillId="27"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20" fillId="0" borderId="22" xfId="0" applyFont="1" applyBorder="1" applyAlignment="1" applyProtection="1">
      <alignment horizontal="center" wrapText="1"/>
      <protection hidden="1"/>
    </xf>
    <xf numFmtId="0" fontId="31" fillId="0" borderId="23" xfId="0" applyFont="1" applyBorder="1" applyAlignment="1" applyProtection="1">
      <alignment horizontal="center" vertical="center"/>
      <protection hidden="1"/>
    </xf>
    <xf numFmtId="0" fontId="31" fillId="0" borderId="24" xfId="0" applyFont="1" applyBorder="1" applyAlignment="1" applyProtection="1">
      <alignment horizontal="center" vertical="center"/>
      <protection hidden="1"/>
    </xf>
    <xf numFmtId="0" fontId="31" fillId="0" borderId="25" xfId="0" applyFont="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28" fillId="28" borderId="26" xfId="0" applyFont="1" applyFill="1" applyBorder="1" applyAlignment="1" applyProtection="1">
      <alignment vertical="center"/>
      <protection hidden="1"/>
    </xf>
    <xf numFmtId="0" fontId="28" fillId="28" borderId="0" xfId="0" applyFont="1" applyFill="1" applyBorder="1" applyAlignment="1" applyProtection="1">
      <alignment vertical="center"/>
      <protection hidden="1"/>
    </xf>
    <xf numFmtId="0" fontId="28" fillId="28" borderId="27" xfId="0" applyFont="1" applyFill="1" applyBorder="1" applyAlignment="1" applyProtection="1">
      <alignment vertical="center"/>
      <protection hidden="1"/>
    </xf>
    <xf numFmtId="0" fontId="55" fillId="28" borderId="26" xfId="0" applyFont="1" applyFill="1" applyBorder="1" applyAlignment="1" applyProtection="1">
      <alignment vertical="center"/>
      <protection hidden="1"/>
    </xf>
    <xf numFmtId="0" fontId="56" fillId="28" borderId="0" xfId="0" applyFont="1" applyFill="1" applyBorder="1" applyAlignment="1" applyProtection="1">
      <alignment horizontal="center" vertical="center"/>
      <protection hidden="1"/>
    </xf>
    <xf numFmtId="0" fontId="55" fillId="28" borderId="27" xfId="0" applyFont="1" applyFill="1" applyBorder="1" applyAlignment="1" applyProtection="1">
      <alignment vertical="center"/>
      <protection hidden="1"/>
    </xf>
    <xf numFmtId="0" fontId="28" fillId="28" borderId="0" xfId="0" applyFont="1" applyFill="1" applyBorder="1" applyAlignment="1" applyProtection="1">
      <alignment horizontal="center" vertical="center"/>
      <protection hidden="1"/>
    </xf>
    <xf numFmtId="0" fontId="28" fillId="28" borderId="28" xfId="0" applyFont="1" applyFill="1" applyBorder="1" applyAlignment="1" applyProtection="1">
      <alignment vertical="center"/>
      <protection hidden="1"/>
    </xf>
    <xf numFmtId="0" fontId="28" fillId="28" borderId="29" xfId="0" applyFont="1" applyFill="1" applyBorder="1" applyAlignment="1" applyProtection="1">
      <alignment horizontal="center" vertical="center"/>
      <protection hidden="1"/>
    </xf>
    <xf numFmtId="0" fontId="28" fillId="28" borderId="30" xfId="0" applyFont="1" applyFill="1" applyBorder="1" applyAlignment="1" applyProtection="1">
      <alignment vertical="center"/>
      <protection hidden="1"/>
    </xf>
    <xf numFmtId="0" fontId="28" fillId="28" borderId="31" xfId="0" applyFont="1" applyFill="1" applyBorder="1" applyAlignment="1" applyProtection="1">
      <alignment vertical="center"/>
      <protection hidden="1"/>
    </xf>
    <xf numFmtId="0" fontId="28" fillId="28" borderId="32" xfId="0" applyFont="1" applyFill="1" applyBorder="1" applyAlignment="1" applyProtection="1">
      <alignment vertical="center"/>
      <protection hidden="1"/>
    </xf>
    <xf numFmtId="0" fontId="28" fillId="28" borderId="33"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181" fontId="58" fillId="28" borderId="0" xfId="0" applyNumberFormat="1" applyFont="1" applyFill="1" applyBorder="1" applyAlignment="1" applyProtection="1">
      <alignment horizontal="left" vertical="center" wrapText="1"/>
      <protection hidden="1"/>
    </xf>
    <xf numFmtId="181" fontId="58" fillId="28" borderId="27" xfId="0" applyNumberFormat="1" applyFont="1" applyFill="1" applyBorder="1" applyAlignment="1" applyProtection="1">
      <alignment horizontal="left" vertical="center" wrapText="1"/>
      <protection hidden="1"/>
    </xf>
    <xf numFmtId="0" fontId="29" fillId="28" borderId="28" xfId="0" applyFont="1" applyFill="1" applyBorder="1" applyAlignment="1" applyProtection="1">
      <alignment horizontal="left" vertical="center"/>
      <protection hidden="1"/>
    </xf>
    <xf numFmtId="0" fontId="29" fillId="28" borderId="29" xfId="0" applyFont="1" applyFill="1" applyBorder="1" applyAlignment="1" applyProtection="1">
      <alignment vertical="center" wrapText="1"/>
      <protection hidden="1"/>
    </xf>
    <xf numFmtId="0" fontId="30" fillId="28" borderId="30" xfId="0" applyFont="1" applyFill="1" applyBorder="1" applyAlignment="1" applyProtection="1">
      <alignment vertical="center"/>
      <protection hidden="1"/>
    </xf>
    <xf numFmtId="0" fontId="39" fillId="0" borderId="34" xfId="0" applyFont="1" applyFill="1" applyBorder="1" applyAlignment="1">
      <alignment horizontal="center" vertical="center"/>
    </xf>
    <xf numFmtId="0" fontId="39" fillId="0" borderId="35" xfId="0" applyFont="1" applyFill="1" applyBorder="1" applyAlignment="1">
      <alignment horizontal="left" vertical="center"/>
    </xf>
    <xf numFmtId="0" fontId="39" fillId="0" borderId="35" xfId="0" applyFont="1" applyFill="1" applyBorder="1" applyAlignment="1">
      <alignment horizontal="left" vertical="center" shrinkToFit="1"/>
    </xf>
    <xf numFmtId="0" fontId="39" fillId="0" borderId="35" xfId="0" applyFont="1" applyFill="1" applyBorder="1" applyAlignment="1">
      <alignment horizontal="center" vertical="center" wrapText="1"/>
    </xf>
    <xf numFmtId="14" fontId="39" fillId="0" borderId="35" xfId="0" applyNumberFormat="1" applyFont="1" applyFill="1" applyBorder="1" applyAlignment="1">
      <alignment horizontal="center" vertical="center"/>
    </xf>
    <xf numFmtId="0" fontId="39" fillId="0" borderId="36" xfId="0" applyFont="1" applyFill="1" applyBorder="1" applyAlignment="1">
      <alignment horizontal="center" vertical="center"/>
    </xf>
    <xf numFmtId="0" fontId="39" fillId="0" borderId="37" xfId="0" applyFont="1" applyFill="1" applyBorder="1" applyAlignment="1">
      <alignment horizontal="left" vertical="center"/>
    </xf>
    <xf numFmtId="0" fontId="39" fillId="0" borderId="37" xfId="0" applyFont="1" applyFill="1" applyBorder="1" applyAlignment="1">
      <alignment horizontal="left" vertical="center" shrinkToFit="1"/>
    </xf>
    <xf numFmtId="0" fontId="39" fillId="0" borderId="37" xfId="0" applyFont="1" applyFill="1" applyBorder="1" applyAlignment="1">
      <alignment horizontal="center" vertical="center" wrapText="1"/>
    </xf>
    <xf numFmtId="14" fontId="39" fillId="0" borderId="37" xfId="0" applyNumberFormat="1" applyFont="1" applyFill="1" applyBorder="1" applyAlignment="1">
      <alignment horizontal="center" vertical="center"/>
    </xf>
    <xf numFmtId="0" fontId="39" fillId="0" borderId="38" xfId="0" applyFont="1" applyFill="1" applyBorder="1" applyAlignment="1">
      <alignment horizontal="left" vertical="center"/>
    </xf>
    <xf numFmtId="0" fontId="39" fillId="0" borderId="38" xfId="0" applyFont="1" applyFill="1" applyBorder="1" applyAlignment="1">
      <alignment horizontal="left" vertical="center" shrinkToFit="1"/>
    </xf>
    <xf numFmtId="0" fontId="39" fillId="0" borderId="38" xfId="0" applyFont="1" applyFill="1" applyBorder="1" applyAlignment="1">
      <alignment horizontal="center" vertical="center" wrapText="1"/>
    </xf>
    <xf numFmtId="14" fontId="39" fillId="0" borderId="38" xfId="0" applyNumberFormat="1" applyFont="1" applyFill="1" applyBorder="1" applyAlignment="1">
      <alignment horizontal="center" vertical="center"/>
    </xf>
    <xf numFmtId="0" fontId="39" fillId="0" borderId="39" xfId="0" applyFont="1" applyFill="1" applyBorder="1" applyAlignment="1">
      <alignment horizontal="left" vertical="center"/>
    </xf>
    <xf numFmtId="0" fontId="39" fillId="0" borderId="39" xfId="0" applyFont="1" applyFill="1" applyBorder="1" applyAlignment="1">
      <alignment horizontal="left" vertical="center" shrinkToFit="1"/>
    </xf>
    <xf numFmtId="0" fontId="39" fillId="0" borderId="39" xfId="0" applyFont="1" applyFill="1" applyBorder="1" applyAlignment="1">
      <alignment horizontal="center" vertical="center" wrapText="1"/>
    </xf>
    <xf numFmtId="14" fontId="39" fillId="0" borderId="39" xfId="0" applyNumberFormat="1" applyFont="1" applyFill="1" applyBorder="1" applyAlignment="1">
      <alignment horizontal="center" vertical="center"/>
    </xf>
    <xf numFmtId="0" fontId="57" fillId="0" borderId="35"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39" xfId="0" applyFont="1" applyFill="1" applyBorder="1" applyAlignment="1">
      <alignment horizontal="center" vertical="center"/>
    </xf>
    <xf numFmtId="0" fontId="59" fillId="0" borderId="0" xfId="0" applyFont="1" applyFill="1" applyAlignment="1">
      <alignment horizontal="center" vertical="center"/>
    </xf>
    <xf numFmtId="0" fontId="41" fillId="24" borderId="36" xfId="0" applyFont="1" applyFill="1" applyBorder="1" applyAlignment="1" applyProtection="1">
      <alignment horizontal="center" vertical="center"/>
      <protection hidden="1"/>
    </xf>
    <xf numFmtId="0" fontId="39" fillId="29" borderId="37" xfId="0" applyFont="1" applyFill="1" applyBorder="1" applyAlignment="1" applyProtection="1">
      <alignment horizontal="center" vertical="center"/>
      <protection locked="0"/>
    </xf>
    <xf numFmtId="0" fontId="39" fillId="24" borderId="37" xfId="0" applyFont="1" applyFill="1" applyBorder="1" applyAlignment="1" applyProtection="1">
      <alignment horizontal="left" vertical="center" shrinkToFit="1"/>
      <protection hidden="1"/>
    </xf>
    <xf numFmtId="0" fontId="39" fillId="24" borderId="37" xfId="0" applyFont="1" applyFill="1" applyBorder="1" applyAlignment="1" applyProtection="1">
      <alignment horizontal="center" vertical="center"/>
      <protection hidden="1"/>
    </xf>
    <xf numFmtId="14" fontId="39" fillId="24" borderId="37" xfId="0" applyNumberFormat="1" applyFont="1" applyFill="1" applyBorder="1" applyAlignment="1" applyProtection="1">
      <alignment horizontal="center" vertical="center"/>
      <protection hidden="1"/>
    </xf>
    <xf numFmtId="0" fontId="39" fillId="24" borderId="39" xfId="0" applyFont="1" applyFill="1" applyBorder="1" applyAlignment="1" applyProtection="1">
      <alignment horizontal="center" vertical="center"/>
      <protection hidden="1"/>
    </xf>
    <xf numFmtId="186" fontId="39" fillId="29" borderId="37" xfId="0" applyNumberFormat="1" applyFont="1" applyFill="1" applyBorder="1" applyAlignment="1" applyProtection="1">
      <alignment horizontal="center" vertical="center"/>
      <protection locked="0"/>
    </xf>
    <xf numFmtId="186" fontId="31" fillId="0" borderId="0" xfId="0" applyNumberFormat="1" applyFont="1" applyAlignment="1">
      <alignment horizontal="center" vertical="center"/>
    </xf>
    <xf numFmtId="186" fontId="31" fillId="24" borderId="12" xfId="0" applyNumberFormat="1" applyFont="1" applyFill="1" applyBorder="1" applyAlignment="1" applyProtection="1">
      <alignment horizontal="center" vertical="center"/>
      <protection hidden="1"/>
    </xf>
    <xf numFmtId="186" fontId="31" fillId="24" borderId="16" xfId="0" applyNumberFormat="1" applyFont="1" applyFill="1" applyBorder="1" applyAlignment="1" applyProtection="1">
      <alignment horizontal="center" vertical="center"/>
      <protection hidden="1"/>
    </xf>
    <xf numFmtId="186" fontId="31" fillId="24" borderId="20" xfId="0" applyNumberFormat="1" applyFont="1" applyFill="1" applyBorder="1" applyAlignment="1" applyProtection="1">
      <alignment horizontal="center" vertical="center"/>
      <protection hidden="1"/>
    </xf>
    <xf numFmtId="186" fontId="31" fillId="0" borderId="0" xfId="0" applyNumberFormat="1" applyFont="1" applyAlignment="1" applyProtection="1">
      <alignment horizontal="center" vertical="center" wrapText="1"/>
      <protection hidden="1"/>
    </xf>
    <xf numFmtId="0" fontId="39" fillId="0" borderId="0" xfId="0" applyFont="1" applyAlignment="1" applyProtection="1">
      <alignment horizontal="center" vertical="center"/>
      <protection hidden="1"/>
    </xf>
    <xf numFmtId="0" fontId="60" fillId="0" borderId="0" xfId="0" applyFont="1" applyAlignment="1" applyProtection="1">
      <alignment horizontal="center" vertical="center"/>
      <protection hidden="1"/>
    </xf>
    <xf numFmtId="0" fontId="39" fillId="0" borderId="0" xfId="0" applyFont="1" applyAlignment="1">
      <alignment vertical="center"/>
    </xf>
    <xf numFmtId="0" fontId="35" fillId="24" borderId="10" xfId="0" applyFont="1" applyFill="1" applyBorder="1" applyAlignment="1" applyProtection="1">
      <alignment horizontal="center" vertical="center"/>
      <protection hidden="1"/>
    </xf>
    <xf numFmtId="0" fontId="43" fillId="25" borderId="11" xfId="0" applyFont="1" applyFill="1" applyBorder="1" applyAlignment="1" applyProtection="1">
      <alignment horizontal="left" vertical="center" shrinkToFit="1"/>
      <protection hidden="1"/>
    </xf>
    <xf numFmtId="1" fontId="43" fillId="24" borderId="12" xfId="0" applyNumberFormat="1" applyFont="1" applyFill="1" applyBorder="1" applyAlignment="1" applyProtection="1">
      <alignment horizontal="center" vertical="center"/>
      <protection hidden="1"/>
    </xf>
    <xf numFmtId="0" fontId="43" fillId="24" borderId="12" xfId="0" applyFont="1" applyFill="1" applyBorder="1" applyAlignment="1" applyProtection="1">
      <alignment horizontal="left" vertical="center" shrinkToFit="1"/>
      <protection hidden="1"/>
    </xf>
    <xf numFmtId="0" fontId="43" fillId="24" borderId="12" xfId="0" applyFont="1" applyFill="1" applyBorder="1" applyAlignment="1" applyProtection="1">
      <alignment horizontal="center" vertical="center"/>
      <protection hidden="1"/>
    </xf>
    <xf numFmtId="186" fontId="43" fillId="24" borderId="12" xfId="0" applyNumberFormat="1" applyFont="1" applyFill="1" applyBorder="1" applyAlignment="1" applyProtection="1">
      <alignment horizontal="center" vertical="center"/>
      <protection hidden="1"/>
    </xf>
    <xf numFmtId="0" fontId="43" fillId="24" borderId="13" xfId="0" applyNumberFormat="1" applyFont="1" applyFill="1" applyBorder="1" applyAlignment="1" applyProtection="1">
      <alignment horizontal="center" vertical="center"/>
      <protection hidden="1"/>
    </xf>
    <xf numFmtId="0" fontId="35" fillId="24" borderId="11" xfId="0"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3" fillId="25" borderId="15" xfId="0" applyFont="1" applyFill="1" applyBorder="1" applyAlignment="1" applyProtection="1">
      <alignment horizontal="left" vertical="center" shrinkToFit="1"/>
      <protection hidden="1"/>
    </xf>
    <xf numFmtId="1" fontId="43" fillId="24" borderId="16" xfId="0" applyNumberFormat="1" applyFont="1" applyFill="1" applyBorder="1" applyAlignment="1" applyProtection="1">
      <alignment horizontal="center" vertical="center"/>
      <protection hidden="1"/>
    </xf>
    <xf numFmtId="0" fontId="43" fillId="24" borderId="16" xfId="0" applyFont="1" applyFill="1" applyBorder="1" applyAlignment="1" applyProtection="1">
      <alignment horizontal="left" vertical="center" shrinkToFit="1"/>
      <protection hidden="1"/>
    </xf>
    <xf numFmtId="0" fontId="43" fillId="24" borderId="16" xfId="0" applyFont="1" applyFill="1" applyBorder="1" applyAlignment="1" applyProtection="1">
      <alignment horizontal="center" vertical="center"/>
      <protection hidden="1"/>
    </xf>
    <xf numFmtId="186" fontId="43" fillId="24" borderId="16" xfId="0" applyNumberFormat="1" applyFont="1" applyFill="1" applyBorder="1" applyAlignment="1" applyProtection="1">
      <alignment horizontal="center" vertical="center"/>
      <protection hidden="1"/>
    </xf>
    <xf numFmtId="0" fontId="43" fillId="24" borderId="17" xfId="0" applyNumberFormat="1"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43" fillId="24" borderId="13" xfId="0" applyFont="1" applyFill="1" applyBorder="1" applyAlignment="1" applyProtection="1">
      <alignment horizontal="center" vertical="center"/>
      <protection hidden="1"/>
    </xf>
    <xf numFmtId="0" fontId="43" fillId="24" borderId="17" xfId="0" applyFont="1" applyFill="1" applyBorder="1" applyAlignment="1" applyProtection="1">
      <alignment horizontal="center" vertical="center"/>
      <protection hidden="1"/>
    </xf>
    <xf numFmtId="0" fontId="35" fillId="24" borderId="18" xfId="0" applyFont="1" applyFill="1" applyBorder="1" applyAlignment="1" applyProtection="1">
      <alignment horizontal="center" vertical="center"/>
      <protection hidden="1"/>
    </xf>
    <xf numFmtId="0" fontId="43" fillId="25" borderId="19" xfId="0" applyFont="1" applyFill="1" applyBorder="1" applyAlignment="1" applyProtection="1">
      <alignment horizontal="left" vertical="center" shrinkToFit="1"/>
      <protection hidden="1"/>
    </xf>
    <xf numFmtId="1" fontId="43" fillId="24" borderId="20" xfId="0" applyNumberFormat="1" applyFont="1" applyFill="1" applyBorder="1" applyAlignment="1" applyProtection="1">
      <alignment horizontal="center" vertical="center"/>
      <protection hidden="1"/>
    </xf>
    <xf numFmtId="0" fontId="43" fillId="24" borderId="20" xfId="0" applyFont="1" applyFill="1" applyBorder="1" applyAlignment="1" applyProtection="1">
      <alignment horizontal="left" vertical="center" shrinkToFit="1"/>
      <protection hidden="1"/>
    </xf>
    <xf numFmtId="0" fontId="43" fillId="24" borderId="20" xfId="0" applyFont="1" applyFill="1" applyBorder="1" applyAlignment="1" applyProtection="1">
      <alignment horizontal="center" vertical="center"/>
      <protection hidden="1"/>
    </xf>
    <xf numFmtId="186" fontId="43" fillId="24" borderId="20" xfId="0" applyNumberFormat="1" applyFont="1" applyFill="1" applyBorder="1" applyAlignment="1" applyProtection="1">
      <alignment horizontal="center" vertical="center"/>
      <protection hidden="1"/>
    </xf>
    <xf numFmtId="0" fontId="43" fillId="24" borderId="21" xfId="0" applyFont="1" applyFill="1" applyBorder="1" applyAlignment="1" applyProtection="1">
      <alignment horizontal="center" vertical="center"/>
      <protection hidden="1"/>
    </xf>
    <xf numFmtId="0" fontId="35" fillId="24" borderId="19" xfId="0" applyFont="1" applyFill="1" applyBorder="1" applyAlignment="1" applyProtection="1">
      <alignment horizontal="center" vertical="center"/>
      <protection hidden="1"/>
    </xf>
    <xf numFmtId="1" fontId="61" fillId="26" borderId="12" xfId="0" applyNumberFormat="1" applyFont="1" applyFill="1" applyBorder="1" applyAlignment="1" applyProtection="1">
      <alignment horizontal="center" vertical="center"/>
      <protection locked="0"/>
    </xf>
    <xf numFmtId="1" fontId="61" fillId="26" borderId="16" xfId="0" applyNumberFormat="1" applyFont="1" applyFill="1" applyBorder="1" applyAlignment="1" applyProtection="1">
      <alignment horizontal="center" vertical="center"/>
      <protection locked="0"/>
    </xf>
    <xf numFmtId="0" fontId="45" fillId="0" borderId="0" xfId="0" applyFont="1" applyAlignment="1">
      <alignment vertical="center"/>
    </xf>
    <xf numFmtId="0" fontId="45" fillId="0" borderId="0" xfId="0" applyFont="1" applyAlignment="1" applyProtection="1">
      <alignment horizontal="center" vertical="center"/>
      <protection hidden="1"/>
    </xf>
    <xf numFmtId="0" fontId="62" fillId="0" borderId="0" xfId="0" applyFont="1" applyAlignment="1" applyProtection="1">
      <alignment horizontal="center" vertical="center"/>
      <protection hidden="1"/>
    </xf>
    <xf numFmtId="0" fontId="63" fillId="0" borderId="0" xfId="0" applyFont="1" applyAlignment="1" applyProtection="1">
      <alignment horizontal="center" vertical="center"/>
      <protection hidden="1"/>
    </xf>
    <xf numFmtId="0" fontId="64" fillId="30" borderId="41" xfId="0" applyFont="1" applyFill="1" applyBorder="1" applyAlignment="1" applyProtection="1">
      <alignment horizontal="center" vertical="center" wrapText="1"/>
      <protection hidden="1"/>
    </xf>
    <xf numFmtId="0" fontId="64" fillId="30" borderId="42" xfId="0" applyFont="1" applyFill="1" applyBorder="1" applyAlignment="1" applyProtection="1">
      <alignment horizontal="center" vertical="center" wrapText="1"/>
      <protection hidden="1"/>
    </xf>
    <xf numFmtId="14" fontId="64" fillId="30" borderId="42" xfId="0" applyNumberFormat="1" applyFont="1" applyFill="1" applyBorder="1" applyAlignment="1" applyProtection="1">
      <alignment horizontal="center" vertical="center" wrapText="1"/>
      <protection hidden="1"/>
    </xf>
    <xf numFmtId="186" fontId="64" fillId="30" borderId="42" xfId="0" applyNumberFormat="1" applyFont="1" applyFill="1" applyBorder="1" applyAlignment="1" applyProtection="1">
      <alignment horizontal="center" vertical="center" wrapText="1"/>
      <protection hidden="1"/>
    </xf>
    <xf numFmtId="0" fontId="64" fillId="30" borderId="43" xfId="0" applyFont="1" applyFill="1" applyBorder="1" applyAlignment="1" applyProtection="1">
      <alignment horizontal="center" vertical="center" wrapText="1"/>
      <protection hidden="1"/>
    </xf>
    <xf numFmtId="0" fontId="64" fillId="30" borderId="22" xfId="0" applyFont="1" applyFill="1" applyBorder="1" applyAlignment="1">
      <alignment horizontal="center" vertical="center" wrapText="1"/>
    </xf>
    <xf numFmtId="0" fontId="64" fillId="30" borderId="44" xfId="0" applyFont="1" applyFill="1" applyBorder="1" applyAlignment="1">
      <alignment horizontal="center" vertical="center" wrapText="1"/>
    </xf>
    <xf numFmtId="14" fontId="64" fillId="30" borderId="44" xfId="0" applyNumberFormat="1" applyFont="1" applyFill="1" applyBorder="1" applyAlignment="1">
      <alignment horizontal="center" vertical="center" wrapText="1"/>
    </xf>
    <xf numFmtId="186" fontId="64" fillId="30" borderId="44" xfId="0" applyNumberFormat="1" applyFont="1" applyFill="1" applyBorder="1" applyAlignment="1">
      <alignment horizontal="center" vertical="center" wrapText="1"/>
    </xf>
    <xf numFmtId="0" fontId="64" fillId="30" borderId="45" xfId="0" applyFont="1" applyFill="1" applyBorder="1" applyAlignment="1">
      <alignment horizontal="center" vertical="center" wrapText="1"/>
    </xf>
    <xf numFmtId="14" fontId="64" fillId="30" borderId="22" xfId="0" applyNumberFormat="1" applyFont="1" applyFill="1" applyBorder="1" applyAlignment="1">
      <alignment horizontal="center" vertical="center" wrapText="1"/>
    </xf>
    <xf numFmtId="0" fontId="63" fillId="0" borderId="0" xfId="0" applyFont="1" applyFill="1" applyAlignment="1">
      <alignment vertical="center"/>
    </xf>
    <xf numFmtId="184" fontId="65" fillId="31" borderId="0" xfId="0" applyNumberFormat="1" applyFont="1" applyFill="1" applyBorder="1" applyAlignment="1">
      <alignment horizontal="left" vertical="center"/>
    </xf>
    <xf numFmtId="184" fontId="65" fillId="31" borderId="29" xfId="0" applyNumberFormat="1" applyFont="1" applyFill="1" applyBorder="1" applyAlignment="1">
      <alignment horizontal="center" vertical="center"/>
    </xf>
    <xf numFmtId="184" fontId="65" fillId="31" borderId="29" xfId="0" applyNumberFormat="1" applyFont="1" applyFill="1" applyBorder="1" applyAlignment="1">
      <alignment vertical="center"/>
    </xf>
    <xf numFmtId="181" fontId="65" fillId="31" borderId="29" xfId="0" applyNumberFormat="1" applyFont="1" applyFill="1" applyBorder="1" applyAlignment="1" applyProtection="1">
      <alignment vertical="center"/>
      <protection hidden="1"/>
    </xf>
    <xf numFmtId="0" fontId="66" fillId="31" borderId="26" xfId="0" applyFont="1" applyFill="1" applyBorder="1" applyAlignment="1" applyProtection="1">
      <alignment horizontal="right" vertical="center" wrapText="1"/>
      <protection hidden="1"/>
    </xf>
    <xf numFmtId="0" fontId="66" fillId="31" borderId="26" xfId="0" applyFont="1" applyFill="1" applyBorder="1" applyAlignment="1" applyProtection="1">
      <alignment horizontal="right" vertical="center"/>
      <protection hidden="1"/>
    </xf>
    <xf numFmtId="0" fontId="66" fillId="31" borderId="31" xfId="0" applyFont="1" applyFill="1" applyBorder="1" applyAlignment="1" applyProtection="1">
      <alignment horizontal="right" vertical="center" wrapText="1"/>
      <protection hidden="1"/>
    </xf>
    <xf numFmtId="184" fontId="65" fillId="31" borderId="46" xfId="0" applyNumberFormat="1" applyFont="1" applyFill="1" applyBorder="1" applyAlignment="1" applyProtection="1">
      <alignment vertical="center" wrapText="1"/>
      <protection locked="0"/>
    </xf>
    <xf numFmtId="0" fontId="65" fillId="31" borderId="47" xfId="0" applyNumberFormat="1" applyFont="1" applyFill="1" applyBorder="1" applyAlignment="1" applyProtection="1">
      <alignment horizontal="left" vertical="center" wrapText="1"/>
      <protection locked="0"/>
    </xf>
    <xf numFmtId="0" fontId="65" fillId="31" borderId="47" xfId="0" applyFont="1" applyFill="1" applyBorder="1" applyAlignment="1" applyProtection="1">
      <alignment horizontal="left" vertical="center" wrapText="1"/>
      <protection locked="0"/>
    </xf>
    <xf numFmtId="0" fontId="65" fillId="31" borderId="46" xfId="0" applyFont="1" applyFill="1" applyBorder="1" applyAlignment="1" applyProtection="1">
      <alignment horizontal="left" vertical="center" wrapText="1"/>
      <protection locked="0"/>
    </xf>
    <xf numFmtId="184" fontId="65" fillId="31" borderId="47" xfId="0" applyNumberFormat="1" applyFont="1" applyFill="1" applyBorder="1" applyAlignment="1" applyProtection="1">
      <alignment horizontal="left" vertical="center" wrapText="1"/>
      <protection locked="0"/>
    </xf>
    <xf numFmtId="184" fontId="65" fillId="31" borderId="46" xfId="0" applyNumberFormat="1" applyFont="1" applyFill="1" applyBorder="1" applyAlignment="1" applyProtection="1">
      <alignment horizontal="left" vertical="center" wrapText="1"/>
      <protection locked="0"/>
    </xf>
    <xf numFmtId="0" fontId="25" fillId="28" borderId="48" xfId="0" applyFont="1" applyFill="1" applyBorder="1" applyAlignment="1" applyProtection="1">
      <alignment horizontal="center" wrapText="1"/>
      <protection hidden="1"/>
    </xf>
    <xf numFmtId="0" fontId="25" fillId="28" borderId="49" xfId="0" applyFont="1" applyFill="1" applyBorder="1" applyAlignment="1" applyProtection="1">
      <alignment horizontal="center" wrapText="1"/>
      <protection hidden="1"/>
    </xf>
    <xf numFmtId="0" fontId="25" fillId="28" borderId="50" xfId="0" applyFont="1" applyFill="1" applyBorder="1" applyAlignment="1" applyProtection="1">
      <alignment horizontal="center" wrapText="1"/>
      <protection hidden="1"/>
    </xf>
    <xf numFmtId="0" fontId="26" fillId="28" borderId="26" xfId="0" applyFont="1" applyFill="1" applyBorder="1" applyAlignment="1" applyProtection="1">
      <alignment horizontal="center" wrapText="1"/>
      <protection locked="0"/>
    </xf>
    <xf numFmtId="0" fontId="67" fillId="28" borderId="0" xfId="0" applyFont="1" applyFill="1" applyBorder="1" applyAlignment="1" applyProtection="1">
      <alignment horizontal="center" wrapText="1"/>
      <protection locked="0"/>
    </xf>
    <xf numFmtId="0" fontId="67" fillId="28" borderId="27" xfId="0" applyFont="1" applyFill="1" applyBorder="1" applyAlignment="1" applyProtection="1">
      <alignment horizontal="center" wrapText="1"/>
      <protection locked="0"/>
    </xf>
    <xf numFmtId="0" fontId="57" fillId="28" borderId="26" xfId="0" applyFont="1" applyFill="1" applyBorder="1" applyAlignment="1" applyProtection="1">
      <alignment horizontal="center" vertical="center"/>
      <protection hidden="1"/>
    </xf>
    <xf numFmtId="0" fontId="57" fillId="28" borderId="0" xfId="0" applyFont="1" applyFill="1" applyBorder="1" applyAlignment="1" applyProtection="1">
      <alignment horizontal="center" vertical="center"/>
      <protection hidden="1"/>
    </xf>
    <xf numFmtId="0" fontId="57" fillId="28" borderId="27"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wrapText="1"/>
      <protection hidden="1"/>
    </xf>
    <xf numFmtId="0" fontId="68" fillId="28" borderId="0" xfId="0" applyFont="1" applyFill="1" applyBorder="1" applyAlignment="1" applyProtection="1">
      <alignment horizontal="center" vertical="center"/>
      <protection hidden="1"/>
    </xf>
    <xf numFmtId="0" fontId="68" fillId="28" borderId="27"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65" fillId="31" borderId="0" xfId="0" applyFont="1" applyFill="1" applyBorder="1" applyAlignment="1">
      <alignment horizontal="left" vertical="center"/>
    </xf>
    <xf numFmtId="0" fontId="34" fillId="31" borderId="0" xfId="0" applyFont="1" applyFill="1" applyAlignment="1">
      <alignment horizontal="center" vertical="center" wrapText="1"/>
    </xf>
    <xf numFmtId="0" fontId="34" fillId="31" borderId="0" xfId="0" applyFont="1" applyFill="1" applyAlignment="1">
      <alignment horizontal="center" vertical="center"/>
    </xf>
    <xf numFmtId="0" fontId="69" fillId="30" borderId="0" xfId="0" applyFont="1" applyFill="1" applyAlignment="1">
      <alignment horizontal="center" vertical="center" wrapText="1"/>
    </xf>
    <xf numFmtId="180" fontId="70" fillId="31" borderId="0" xfId="0" applyNumberFormat="1" applyFont="1" applyFill="1" applyAlignment="1">
      <alignment horizontal="center" vertical="center" wrapText="1"/>
    </xf>
    <xf numFmtId="184" fontId="65" fillId="31" borderId="29" xfId="0" applyNumberFormat="1" applyFont="1" applyFill="1" applyBorder="1" applyAlignment="1">
      <alignment horizontal="left" vertical="center"/>
    </xf>
    <xf numFmtId="0" fontId="35" fillId="31" borderId="0" xfId="0" applyFont="1" applyFill="1" applyAlignment="1">
      <alignment horizontal="center" vertical="center" wrapText="1"/>
    </xf>
    <xf numFmtId="0" fontId="69" fillId="30" borderId="0" xfId="0" applyNumberFormat="1" applyFont="1" applyFill="1" applyAlignment="1">
      <alignment horizontal="center" vertical="center" wrapText="1"/>
    </xf>
    <xf numFmtId="0" fontId="58" fillId="31" borderId="0" xfId="0" applyNumberFormat="1" applyFont="1" applyFill="1" applyAlignment="1">
      <alignment horizontal="center" vertical="center" wrapText="1"/>
    </xf>
    <xf numFmtId="184" fontId="65" fillId="31" borderId="29" xfId="0" applyNumberFormat="1" applyFont="1" applyFill="1" applyBorder="1" applyAlignment="1">
      <alignment horizontal="center" vertical="center"/>
    </xf>
    <xf numFmtId="0" fontId="35" fillId="31" borderId="0" xfId="0" applyFont="1" applyFill="1" applyAlignment="1" applyProtection="1">
      <alignment horizontal="center" vertical="center" wrapText="1"/>
      <protection hidden="1"/>
    </xf>
    <xf numFmtId="0" fontId="69" fillId="30"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vertical="center" wrapText="1"/>
      <protection hidden="1"/>
    </xf>
    <xf numFmtId="0" fontId="65" fillId="31" borderId="29" xfId="0" applyFont="1" applyFill="1" applyBorder="1" applyAlignment="1" applyProtection="1">
      <alignment horizontal="left" vertical="center"/>
      <protection hidden="1"/>
    </xf>
    <xf numFmtId="181" fontId="65" fillId="31" borderId="29" xfId="0" applyNumberFormat="1" applyFont="1" applyFill="1" applyBorder="1" applyAlignment="1" applyProtection="1">
      <alignment horizontal="left" vertical="center"/>
      <protection hidden="1"/>
    </xf>
    <xf numFmtId="184" fontId="65" fillId="31" borderId="29" xfId="0" applyNumberFormat="1"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1">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19050</xdr:rowOff>
    </xdr:from>
    <xdr:to>
      <xdr:col>0</xdr:col>
      <xdr:colOff>895350</xdr:colOff>
      <xdr:row>27</xdr:row>
      <xdr:rowOff>28575</xdr:rowOff>
    </xdr:to>
    <xdr:grpSp>
      <xdr:nvGrpSpPr>
        <xdr:cNvPr id="1" name="5 Grup"/>
        <xdr:cNvGrpSpPr>
          <a:grpSpLocks/>
        </xdr:cNvGrpSpPr>
      </xdr:nvGrpSpPr>
      <xdr:grpSpPr>
        <a:xfrm>
          <a:off x="295275" y="7553325"/>
          <a:ext cx="600075" cy="5429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533400</xdr:colOff>
      <xdr:row>2</xdr:row>
      <xdr:rowOff>285750</xdr:rowOff>
    </xdr:from>
    <xdr:to>
      <xdr:col>1</xdr:col>
      <xdr:colOff>1581150</xdr:colOff>
      <xdr:row>5</xdr:row>
      <xdr:rowOff>238125</xdr:rowOff>
    </xdr:to>
    <xdr:pic>
      <xdr:nvPicPr>
        <xdr:cNvPr id="4" name="irc_mi" descr="http://www.tsyd.org/resim/taf_logo(8).jpg"/>
        <xdr:cNvPicPr preferRelativeResize="1">
          <a:picLocks noChangeAspect="1"/>
        </xdr:cNvPicPr>
      </xdr:nvPicPr>
      <xdr:blipFill>
        <a:blip r:embed="rId2"/>
        <a:stretch>
          <a:fillRect/>
        </a:stretch>
      </xdr:blipFill>
      <xdr:spPr>
        <a:xfrm>
          <a:off x="2924175" y="1133475"/>
          <a:ext cx="10477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0</xdr:row>
      <xdr:rowOff>209550</xdr:rowOff>
    </xdr:from>
    <xdr:to>
      <xdr:col>2</xdr:col>
      <xdr:colOff>657225</xdr:colOff>
      <xdr:row>2</xdr:row>
      <xdr:rowOff>180975</xdr:rowOff>
    </xdr:to>
    <xdr:pic>
      <xdr:nvPicPr>
        <xdr:cNvPr id="1" name="irc_mi" descr="http://www.tsyd.org/resim/taf_logo(8).jpg"/>
        <xdr:cNvPicPr preferRelativeResize="1">
          <a:picLocks noChangeAspect="1"/>
        </xdr:cNvPicPr>
      </xdr:nvPicPr>
      <xdr:blipFill>
        <a:blip r:embed="rId1"/>
        <a:stretch>
          <a:fillRect/>
        </a:stretch>
      </xdr:blipFill>
      <xdr:spPr>
        <a:xfrm>
          <a:off x="695325" y="209550"/>
          <a:ext cx="83820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171450</xdr:rowOff>
    </xdr:from>
    <xdr:to>
      <xdr:col>2</xdr:col>
      <xdr:colOff>666750</xdr:colOff>
      <xdr:row>2</xdr:row>
      <xdr:rowOff>161925</xdr:rowOff>
    </xdr:to>
    <xdr:pic>
      <xdr:nvPicPr>
        <xdr:cNvPr id="1" name="irc_mi" descr="http://www.tsyd.org/resim/taf_logo(8).jpg"/>
        <xdr:cNvPicPr preferRelativeResize="1">
          <a:picLocks noChangeAspect="1"/>
        </xdr:cNvPicPr>
      </xdr:nvPicPr>
      <xdr:blipFill>
        <a:blip r:embed="rId1"/>
        <a:stretch>
          <a:fillRect/>
        </a:stretch>
      </xdr:blipFill>
      <xdr:spPr>
        <a:xfrm>
          <a:off x="704850" y="171450"/>
          <a:ext cx="8382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142875</xdr:rowOff>
    </xdr:from>
    <xdr:to>
      <xdr:col>1</xdr:col>
      <xdr:colOff>942975</xdr:colOff>
      <xdr:row>2</xdr:row>
      <xdr:rowOff>190500</xdr:rowOff>
    </xdr:to>
    <xdr:pic>
      <xdr:nvPicPr>
        <xdr:cNvPr id="1" name="irc_mi" descr="http://www.tsyd.org/resim/taf_logo(8).jpg"/>
        <xdr:cNvPicPr preferRelativeResize="1">
          <a:picLocks noChangeAspect="1"/>
        </xdr:cNvPicPr>
      </xdr:nvPicPr>
      <xdr:blipFill>
        <a:blip r:embed="rId1"/>
        <a:stretch>
          <a:fillRect/>
        </a:stretch>
      </xdr:blipFill>
      <xdr:spPr>
        <a:xfrm>
          <a:off x="600075" y="142875"/>
          <a:ext cx="83820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133350</xdr:rowOff>
    </xdr:from>
    <xdr:to>
      <xdr:col>1</xdr:col>
      <xdr:colOff>933450</xdr:colOff>
      <xdr:row>2</xdr:row>
      <xdr:rowOff>180975</xdr:rowOff>
    </xdr:to>
    <xdr:pic>
      <xdr:nvPicPr>
        <xdr:cNvPr id="1" name="irc_mi" descr="http://www.tsyd.org/resim/taf_logo(8).jpg"/>
        <xdr:cNvPicPr preferRelativeResize="1">
          <a:picLocks noChangeAspect="1"/>
        </xdr:cNvPicPr>
      </xdr:nvPicPr>
      <xdr:blipFill>
        <a:blip r:embed="rId1"/>
        <a:stretch>
          <a:fillRect/>
        </a:stretch>
      </xdr:blipFill>
      <xdr:spPr>
        <a:xfrm>
          <a:off x="600075" y="133350"/>
          <a:ext cx="83820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5"/>
  <sheetViews>
    <sheetView view="pageBreakPreview" zoomScaleSheetLayoutView="100" zoomScalePageLayoutView="0" workbookViewId="0" topLeftCell="A19">
      <selection activeCell="F27" sqref="F27"/>
    </sheetView>
  </sheetViews>
  <sheetFormatPr defaultColWidth="9.00390625" defaultRowHeight="12.75"/>
  <cols>
    <col min="1" max="1" width="31.375" style="53" customWidth="1"/>
    <col min="2" max="2" width="24.875" style="53" customWidth="1"/>
    <col min="3" max="3" width="38.375" style="53" customWidth="1"/>
    <col min="4" max="7" width="6.75390625" style="53" customWidth="1"/>
    <col min="8" max="8" width="9.125" style="53" bestFit="1" customWidth="1"/>
    <col min="9" max="9" width="8.875" style="53" bestFit="1" customWidth="1"/>
    <col min="10" max="10" width="8.75390625" style="53" bestFit="1" customWidth="1"/>
    <col min="11" max="11" width="6.625" style="53" customWidth="1"/>
    <col min="12" max="12" width="6.75390625" style="53" customWidth="1"/>
    <col min="13" max="13" width="7.25390625" style="53" customWidth="1"/>
    <col min="14" max="14" width="7.00390625" style="53" customWidth="1"/>
    <col min="15" max="16384" width="9.125" style="53" customWidth="1"/>
  </cols>
  <sheetData>
    <row r="1" spans="1:3" ht="24" customHeight="1">
      <c r="A1" s="171"/>
      <c r="B1" s="172"/>
      <c r="C1" s="173"/>
    </row>
    <row r="2" spans="1:5" ht="42.75" customHeight="1">
      <c r="A2" s="174" t="s">
        <v>30</v>
      </c>
      <c r="B2" s="175"/>
      <c r="C2" s="176"/>
      <c r="D2" s="54"/>
      <c r="E2" s="54"/>
    </row>
    <row r="3" spans="1:5" ht="24.75" customHeight="1">
      <c r="A3" s="177"/>
      <c r="B3" s="178"/>
      <c r="C3" s="179"/>
      <c r="D3" s="55"/>
      <c r="E3" s="55"/>
    </row>
    <row r="4" spans="1:3" s="56" customFormat="1" ht="24.75" customHeight="1">
      <c r="A4" s="57"/>
      <c r="B4" s="58"/>
      <c r="C4" s="59"/>
    </row>
    <row r="5" spans="1:3" s="56" customFormat="1" ht="24.75" customHeight="1">
      <c r="A5" s="57"/>
      <c r="B5" s="58"/>
      <c r="C5" s="59"/>
    </row>
    <row r="6" spans="1:3" s="56" customFormat="1" ht="24.75" customHeight="1">
      <c r="A6" s="57"/>
      <c r="B6" s="58"/>
      <c r="C6" s="59"/>
    </row>
    <row r="7" spans="1:3" s="56" customFormat="1" ht="24.75" customHeight="1">
      <c r="A7" s="57"/>
      <c r="B7" s="58"/>
      <c r="C7" s="59"/>
    </row>
    <row r="8" spans="1:3" s="56" customFormat="1" ht="24.75" customHeight="1">
      <c r="A8" s="57"/>
      <c r="B8" s="58"/>
      <c r="C8" s="59"/>
    </row>
    <row r="9" spans="1:3" ht="22.5">
      <c r="A9" s="57"/>
      <c r="B9" s="58"/>
      <c r="C9" s="59"/>
    </row>
    <row r="10" spans="1:3" ht="22.5">
      <c r="A10" s="57"/>
      <c r="B10" s="58"/>
      <c r="C10" s="59"/>
    </row>
    <row r="11" spans="1:3" ht="22.5">
      <c r="A11" s="57"/>
      <c r="B11" s="58"/>
      <c r="C11" s="59"/>
    </row>
    <row r="12" spans="1:3" ht="22.5">
      <c r="A12" s="57"/>
      <c r="B12" s="58"/>
      <c r="C12" s="59"/>
    </row>
    <row r="13" spans="1:3" ht="22.5">
      <c r="A13" s="57"/>
      <c r="B13" s="58"/>
      <c r="C13" s="59"/>
    </row>
    <row r="14" spans="1:3" ht="22.5">
      <c r="A14" s="57"/>
      <c r="B14" s="58"/>
      <c r="C14" s="59"/>
    </row>
    <row r="15" spans="1:3" ht="22.5">
      <c r="A15" s="57"/>
      <c r="B15" s="58"/>
      <c r="C15" s="59"/>
    </row>
    <row r="16" spans="1:3" ht="22.5">
      <c r="A16" s="57"/>
      <c r="B16" s="58"/>
      <c r="C16" s="59"/>
    </row>
    <row r="17" spans="1:3" ht="22.5">
      <c r="A17" s="57"/>
      <c r="B17" s="58"/>
      <c r="C17" s="59"/>
    </row>
    <row r="18" spans="1:3" ht="18" customHeight="1">
      <c r="A18" s="180" t="str">
        <f>B25</f>
        <v>Atatürk'ü Anma Kros Yarışmaları</v>
      </c>
      <c r="B18" s="181"/>
      <c r="C18" s="182"/>
    </row>
    <row r="19" spans="1:3" ht="31.5" customHeight="1">
      <c r="A19" s="183"/>
      <c r="B19" s="181"/>
      <c r="C19" s="182"/>
    </row>
    <row r="20" spans="1:3" ht="25.5" customHeight="1">
      <c r="A20" s="60"/>
      <c r="B20" s="61" t="str">
        <f>B28</f>
        <v>Ankara</v>
      </c>
      <c r="C20" s="62"/>
    </row>
    <row r="21" spans="1:3" ht="25.5" customHeight="1">
      <c r="A21" s="57"/>
      <c r="B21" s="63"/>
      <c r="C21" s="59"/>
    </row>
    <row r="22" spans="1:3" ht="25.5" customHeight="1">
      <c r="A22" s="57"/>
      <c r="B22" s="63"/>
      <c r="C22" s="59"/>
    </row>
    <row r="23" spans="1:3" ht="25.5" customHeight="1">
      <c r="A23" s="64"/>
      <c r="B23" s="65"/>
      <c r="C23" s="66"/>
    </row>
    <row r="24" spans="1:3" ht="3" customHeight="1">
      <c r="A24" s="67"/>
      <c r="B24" s="68"/>
      <c r="C24" s="69"/>
    </row>
    <row r="25" spans="1:3" ht="21" customHeight="1">
      <c r="A25" s="162" t="s">
        <v>10</v>
      </c>
      <c r="B25" s="167" t="s">
        <v>27</v>
      </c>
      <c r="C25" s="168"/>
    </row>
    <row r="26" spans="1:3" ht="21" customHeight="1">
      <c r="A26" s="162" t="s">
        <v>11</v>
      </c>
      <c r="B26" s="167" t="s">
        <v>187</v>
      </c>
      <c r="C26" s="168"/>
    </row>
    <row r="27" spans="1:3" ht="21" customHeight="1">
      <c r="A27" s="163" t="s">
        <v>12</v>
      </c>
      <c r="B27" s="167" t="s">
        <v>47</v>
      </c>
      <c r="C27" s="168"/>
    </row>
    <row r="28" spans="1:3" ht="21" customHeight="1">
      <c r="A28" s="162" t="s">
        <v>13</v>
      </c>
      <c r="B28" s="167" t="s">
        <v>28</v>
      </c>
      <c r="C28" s="168"/>
    </row>
    <row r="29" spans="1:3" ht="21" customHeight="1">
      <c r="A29" s="164" t="s">
        <v>16</v>
      </c>
      <c r="B29" s="169">
        <v>41953.40625</v>
      </c>
      <c r="C29" s="170"/>
    </row>
    <row r="30" spans="1:3" ht="24" customHeight="1">
      <c r="A30" s="164" t="s">
        <v>185</v>
      </c>
      <c r="B30" s="166">
        <v>115</v>
      </c>
      <c r="C30" s="165"/>
    </row>
    <row r="31" spans="1:3" ht="21" customHeight="1">
      <c r="A31" s="164" t="s">
        <v>186</v>
      </c>
      <c r="B31" s="166">
        <v>28</v>
      </c>
      <c r="C31" s="165"/>
    </row>
    <row r="32" spans="1:3" ht="21" customHeight="1">
      <c r="A32" s="70"/>
      <c r="B32" s="71"/>
      <c r="C32" s="72"/>
    </row>
    <row r="33" spans="1:3" ht="21" customHeight="1">
      <c r="A33" s="70"/>
      <c r="B33" s="71"/>
      <c r="C33" s="72"/>
    </row>
    <row r="34" spans="1:3" ht="21" customHeight="1">
      <c r="A34" s="70"/>
      <c r="B34" s="71"/>
      <c r="C34" s="72"/>
    </row>
    <row r="35" spans="1:3" ht="18">
      <c r="A35" s="73"/>
      <c r="B35" s="74"/>
      <c r="C35" s="75"/>
    </row>
  </sheetData>
  <sheetProtection/>
  <mergeCells count="9">
    <mergeCell ref="B26:C26"/>
    <mergeCell ref="B27:C27"/>
    <mergeCell ref="B28:C28"/>
    <mergeCell ref="B29:C29"/>
    <mergeCell ref="A1:C1"/>
    <mergeCell ref="A2:C2"/>
    <mergeCell ref="A3:C3"/>
    <mergeCell ref="A18:C19"/>
    <mergeCell ref="B25:C25"/>
  </mergeCells>
  <printOptions horizontalCentered="1" verticalCentered="1"/>
  <pageMargins left="0.6299212598425197" right="0.1968503937007874" top="0.4724409448818898" bottom="0.4330708661417323"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439"/>
  <sheetViews>
    <sheetView view="pageBreakPreview" zoomScaleSheetLayoutView="100" zoomScalePageLayoutView="0" workbookViewId="0" topLeftCell="A1">
      <selection activeCell="B6" sqref="B6:B128"/>
    </sheetView>
  </sheetViews>
  <sheetFormatPr defaultColWidth="9.00390625" defaultRowHeight="12.75"/>
  <cols>
    <col min="1" max="1" width="5.125" style="40" customWidth="1"/>
    <col min="2" max="2" width="6.375" style="98" bestFit="1" customWidth="1"/>
    <col min="3" max="3" width="29.75390625" style="41" customWidth="1"/>
    <col min="4" max="4" width="35.75390625" style="41" customWidth="1"/>
    <col min="5" max="5" width="6.75390625" style="40" customWidth="1"/>
    <col min="6" max="6" width="15.75390625" style="42" customWidth="1"/>
    <col min="7" max="16384" width="9.125" style="37" customWidth="1"/>
  </cols>
  <sheetData>
    <row r="1" spans="1:6" ht="35.25" customHeight="1">
      <c r="A1" s="185" t="str">
        <f>KAPAK!A2</f>
        <v>Türkiye Atletizm Federasyonu
Ankara Atletizm İl Temsilciliği</v>
      </c>
      <c r="B1" s="186"/>
      <c r="C1" s="186"/>
      <c r="D1" s="186"/>
      <c r="E1" s="186"/>
      <c r="F1" s="186"/>
    </row>
    <row r="2" spans="1:6" ht="23.25" customHeight="1">
      <c r="A2" s="187" t="str">
        <f>KAPAK!B25</f>
        <v>Atatürk'ü Anma Kros Yarışmaları</v>
      </c>
      <c r="B2" s="187"/>
      <c r="C2" s="187"/>
      <c r="D2" s="187"/>
      <c r="E2" s="187"/>
      <c r="F2" s="187"/>
    </row>
    <row r="3" spans="1:6" ht="15.75" customHeight="1">
      <c r="A3" s="188" t="str">
        <f>KAPAK!B28</f>
        <v>Ankara</v>
      </c>
      <c r="B3" s="188"/>
      <c r="C3" s="188"/>
      <c r="D3" s="188"/>
      <c r="E3" s="188"/>
      <c r="F3" s="188"/>
    </row>
    <row r="4" spans="1:6" s="157" customFormat="1" ht="15.75" customHeight="1">
      <c r="A4" s="184" t="str">
        <f>KAPAK!B27</f>
        <v>Küçük Erkek</v>
      </c>
      <c r="B4" s="184"/>
      <c r="C4" s="184"/>
      <c r="D4" s="158" t="str">
        <f>KAPAK!B26</f>
        <v>2 Km.</v>
      </c>
      <c r="E4" s="189">
        <f>KAPAK!B29</f>
        <v>41953.40625</v>
      </c>
      <c r="F4" s="189"/>
    </row>
    <row r="5" spans="1:8" s="38" customFormat="1" ht="25.5">
      <c r="A5" s="151" t="s">
        <v>0</v>
      </c>
      <c r="B5" s="151" t="s">
        <v>1</v>
      </c>
      <c r="C5" s="155" t="s">
        <v>3</v>
      </c>
      <c r="D5" s="151" t="s">
        <v>29</v>
      </c>
      <c r="E5" s="151" t="s">
        <v>8</v>
      </c>
      <c r="F5" s="156" t="s">
        <v>2</v>
      </c>
      <c r="G5" s="39"/>
      <c r="H5" s="39"/>
    </row>
    <row r="6" spans="1:6" ht="16.5" customHeight="1">
      <c r="A6" s="76">
        <v>1</v>
      </c>
      <c r="B6" s="94">
        <v>1</v>
      </c>
      <c r="C6" s="77" t="s">
        <v>48</v>
      </c>
      <c r="D6" s="78" t="s">
        <v>49</v>
      </c>
      <c r="E6" s="79" t="s">
        <v>31</v>
      </c>
      <c r="F6" s="80">
        <v>37765</v>
      </c>
    </row>
    <row r="7" spans="1:6" ht="16.5" customHeight="1">
      <c r="A7" s="81">
        <v>2</v>
      </c>
      <c r="B7" s="95">
        <v>2</v>
      </c>
      <c r="C7" s="82" t="s">
        <v>50</v>
      </c>
      <c r="D7" s="83" t="s">
        <v>49</v>
      </c>
      <c r="E7" s="84" t="s">
        <v>31</v>
      </c>
      <c r="F7" s="85">
        <v>37964</v>
      </c>
    </row>
    <row r="8" spans="1:6" ht="16.5" customHeight="1">
      <c r="A8" s="81">
        <v>3</v>
      </c>
      <c r="B8" s="95">
        <v>3</v>
      </c>
      <c r="C8" s="82" t="s">
        <v>51</v>
      </c>
      <c r="D8" s="83" t="s">
        <v>49</v>
      </c>
      <c r="E8" s="84" t="s">
        <v>31</v>
      </c>
      <c r="F8" s="85">
        <v>38080</v>
      </c>
    </row>
    <row r="9" spans="1:6" ht="16.5" customHeight="1">
      <c r="A9" s="81">
        <v>4</v>
      </c>
      <c r="B9" s="96">
        <v>4</v>
      </c>
      <c r="C9" s="86" t="s">
        <v>52</v>
      </c>
      <c r="D9" s="87" t="s">
        <v>49</v>
      </c>
      <c r="E9" s="88" t="s">
        <v>31</v>
      </c>
      <c r="F9" s="89">
        <v>37874</v>
      </c>
    </row>
    <row r="10" spans="1:6" ht="16.5" customHeight="1">
      <c r="A10" s="81">
        <v>5</v>
      </c>
      <c r="B10" s="97">
        <v>5</v>
      </c>
      <c r="C10" s="90" t="s">
        <v>53</v>
      </c>
      <c r="D10" s="91" t="s">
        <v>54</v>
      </c>
      <c r="E10" s="92" t="s">
        <v>31</v>
      </c>
      <c r="F10" s="93">
        <v>37941</v>
      </c>
    </row>
    <row r="11" spans="1:6" ht="16.5" customHeight="1">
      <c r="A11" s="81">
        <v>6</v>
      </c>
      <c r="B11" s="95">
        <v>6</v>
      </c>
      <c r="C11" s="82" t="s">
        <v>55</v>
      </c>
      <c r="D11" s="83" t="s">
        <v>54</v>
      </c>
      <c r="E11" s="84" t="s">
        <v>31</v>
      </c>
      <c r="F11" s="85">
        <v>37676</v>
      </c>
    </row>
    <row r="12" spans="1:6" ht="16.5" customHeight="1">
      <c r="A12" s="81">
        <v>7</v>
      </c>
      <c r="B12" s="95">
        <v>7</v>
      </c>
      <c r="C12" s="82" t="s">
        <v>56</v>
      </c>
      <c r="D12" s="83" t="s">
        <v>54</v>
      </c>
      <c r="E12" s="84" t="s">
        <v>31</v>
      </c>
      <c r="F12" s="85">
        <v>37622</v>
      </c>
    </row>
    <row r="13" spans="1:6" ht="16.5" customHeight="1">
      <c r="A13" s="81">
        <v>8</v>
      </c>
      <c r="B13" s="96" t="s">
        <v>32</v>
      </c>
      <c r="C13" s="86" t="s">
        <v>32</v>
      </c>
      <c r="D13" s="87" t="s">
        <v>54</v>
      </c>
      <c r="E13" s="88" t="s">
        <v>31</v>
      </c>
      <c r="F13" s="89" t="s">
        <v>32</v>
      </c>
    </row>
    <row r="14" spans="1:6" ht="16.5" customHeight="1">
      <c r="A14" s="81">
        <v>9</v>
      </c>
      <c r="B14" s="97">
        <v>8</v>
      </c>
      <c r="C14" s="90" t="s">
        <v>57</v>
      </c>
      <c r="D14" s="91" t="s">
        <v>58</v>
      </c>
      <c r="E14" s="92" t="s">
        <v>31</v>
      </c>
      <c r="F14" s="93">
        <v>37622</v>
      </c>
    </row>
    <row r="15" spans="1:6" ht="16.5" customHeight="1">
      <c r="A15" s="81">
        <v>10</v>
      </c>
      <c r="B15" s="95">
        <v>9</v>
      </c>
      <c r="C15" s="82" t="s">
        <v>59</v>
      </c>
      <c r="D15" s="83" t="s">
        <v>58</v>
      </c>
      <c r="E15" s="84" t="s">
        <v>31</v>
      </c>
      <c r="F15" s="85">
        <v>37622</v>
      </c>
    </row>
    <row r="16" spans="1:6" ht="16.5" customHeight="1">
      <c r="A16" s="81">
        <v>11</v>
      </c>
      <c r="B16" s="95">
        <v>10</v>
      </c>
      <c r="C16" s="82" t="s">
        <v>60</v>
      </c>
      <c r="D16" s="83" t="s">
        <v>58</v>
      </c>
      <c r="E16" s="84" t="s">
        <v>31</v>
      </c>
      <c r="F16" s="85">
        <v>37622</v>
      </c>
    </row>
    <row r="17" spans="1:6" ht="16.5" customHeight="1">
      <c r="A17" s="81">
        <v>12</v>
      </c>
      <c r="B17" s="96">
        <v>11</v>
      </c>
      <c r="C17" s="86" t="s">
        <v>61</v>
      </c>
      <c r="D17" s="87" t="s">
        <v>58</v>
      </c>
      <c r="E17" s="88" t="s">
        <v>31</v>
      </c>
      <c r="F17" s="89">
        <v>37622</v>
      </c>
    </row>
    <row r="18" spans="1:6" ht="16.5" customHeight="1">
      <c r="A18" s="81">
        <v>13</v>
      </c>
      <c r="B18" s="97">
        <v>12</v>
      </c>
      <c r="C18" s="90" t="s">
        <v>62</v>
      </c>
      <c r="D18" s="91" t="s">
        <v>63</v>
      </c>
      <c r="E18" s="92" t="s">
        <v>31</v>
      </c>
      <c r="F18" s="93">
        <v>37622</v>
      </c>
    </row>
    <row r="19" spans="1:6" ht="16.5" customHeight="1">
      <c r="A19" s="81">
        <v>14</v>
      </c>
      <c r="B19" s="95">
        <v>13</v>
      </c>
      <c r="C19" s="82" t="s">
        <v>64</v>
      </c>
      <c r="D19" s="83" t="s">
        <v>63</v>
      </c>
      <c r="E19" s="84" t="s">
        <v>31</v>
      </c>
      <c r="F19" s="85">
        <v>37854</v>
      </c>
    </row>
    <row r="20" spans="1:6" ht="16.5" customHeight="1">
      <c r="A20" s="81">
        <v>15</v>
      </c>
      <c r="B20" s="95">
        <v>14</v>
      </c>
      <c r="C20" s="82" t="s">
        <v>65</v>
      </c>
      <c r="D20" s="83" t="s">
        <v>63</v>
      </c>
      <c r="E20" s="84" t="s">
        <v>31</v>
      </c>
      <c r="F20" s="85">
        <v>37857</v>
      </c>
    </row>
    <row r="21" spans="1:6" ht="16.5" customHeight="1">
      <c r="A21" s="81">
        <v>16</v>
      </c>
      <c r="B21" s="96" t="s">
        <v>32</v>
      </c>
      <c r="C21" s="86" t="s">
        <v>32</v>
      </c>
      <c r="D21" s="87" t="s">
        <v>63</v>
      </c>
      <c r="E21" s="88" t="s">
        <v>31</v>
      </c>
      <c r="F21" s="89" t="s">
        <v>32</v>
      </c>
    </row>
    <row r="22" spans="1:6" ht="16.5" customHeight="1">
      <c r="A22" s="81">
        <v>17</v>
      </c>
      <c r="B22" s="97">
        <v>15</v>
      </c>
      <c r="C22" s="90" t="s">
        <v>66</v>
      </c>
      <c r="D22" s="91" t="s">
        <v>34</v>
      </c>
      <c r="E22" s="92" t="s">
        <v>31</v>
      </c>
      <c r="F22" s="93">
        <v>38137</v>
      </c>
    </row>
    <row r="23" spans="1:6" ht="16.5" customHeight="1">
      <c r="A23" s="81">
        <v>18</v>
      </c>
      <c r="B23" s="95">
        <v>16</v>
      </c>
      <c r="C23" s="82" t="s">
        <v>39</v>
      </c>
      <c r="D23" s="83" t="s">
        <v>34</v>
      </c>
      <c r="E23" s="84" t="s">
        <v>31</v>
      </c>
      <c r="F23" s="85">
        <v>37867</v>
      </c>
    </row>
    <row r="24" spans="1:6" ht="16.5" customHeight="1">
      <c r="A24" s="81">
        <v>19</v>
      </c>
      <c r="B24" s="95">
        <v>17</v>
      </c>
      <c r="C24" s="82" t="s">
        <v>67</v>
      </c>
      <c r="D24" s="83" t="s">
        <v>34</v>
      </c>
      <c r="E24" s="84" t="s">
        <v>31</v>
      </c>
      <c r="F24" s="85">
        <v>37681</v>
      </c>
    </row>
    <row r="25" spans="1:6" ht="16.5" customHeight="1">
      <c r="A25" s="81">
        <v>20</v>
      </c>
      <c r="B25" s="96">
        <v>18</v>
      </c>
      <c r="C25" s="86" t="s">
        <v>68</v>
      </c>
      <c r="D25" s="87" t="s">
        <v>34</v>
      </c>
      <c r="E25" s="88" t="s">
        <v>31</v>
      </c>
      <c r="F25" s="89">
        <v>37677</v>
      </c>
    </row>
    <row r="26" spans="1:6" ht="16.5" customHeight="1">
      <c r="A26" s="81">
        <v>21</v>
      </c>
      <c r="B26" s="97">
        <v>19</v>
      </c>
      <c r="C26" s="90" t="s">
        <v>69</v>
      </c>
      <c r="D26" s="91" t="s">
        <v>33</v>
      </c>
      <c r="E26" s="92" t="s">
        <v>31</v>
      </c>
      <c r="F26" s="93">
        <v>38262</v>
      </c>
    </row>
    <row r="27" spans="1:6" ht="16.5" customHeight="1">
      <c r="A27" s="81">
        <v>22</v>
      </c>
      <c r="B27" s="95">
        <v>20</v>
      </c>
      <c r="C27" s="82" t="s">
        <v>70</v>
      </c>
      <c r="D27" s="83" t="s">
        <v>33</v>
      </c>
      <c r="E27" s="84" t="s">
        <v>31</v>
      </c>
      <c r="F27" s="85">
        <v>37987</v>
      </c>
    </row>
    <row r="28" spans="1:6" ht="16.5" customHeight="1">
      <c r="A28" s="81">
        <v>23</v>
      </c>
      <c r="B28" s="95">
        <v>21</v>
      </c>
      <c r="C28" s="82" t="s">
        <v>71</v>
      </c>
      <c r="D28" s="83" t="s">
        <v>33</v>
      </c>
      <c r="E28" s="84" t="s">
        <v>31</v>
      </c>
      <c r="F28" s="85">
        <v>38051</v>
      </c>
    </row>
    <row r="29" spans="1:6" ht="16.5" customHeight="1">
      <c r="A29" s="81">
        <v>24</v>
      </c>
      <c r="B29" s="96" t="s">
        <v>32</v>
      </c>
      <c r="C29" s="86" t="s">
        <v>32</v>
      </c>
      <c r="D29" s="87" t="s">
        <v>33</v>
      </c>
      <c r="E29" s="88" t="s">
        <v>31</v>
      </c>
      <c r="F29" s="89" t="s">
        <v>32</v>
      </c>
    </row>
    <row r="30" spans="1:6" ht="16.5" customHeight="1">
      <c r="A30" s="81">
        <v>25</v>
      </c>
      <c r="B30" s="97">
        <v>22</v>
      </c>
      <c r="C30" s="90" t="s">
        <v>72</v>
      </c>
      <c r="D30" s="91" t="s">
        <v>73</v>
      </c>
      <c r="E30" s="92" t="s">
        <v>31</v>
      </c>
      <c r="F30" s="93">
        <v>37866</v>
      </c>
    </row>
    <row r="31" spans="1:6" ht="16.5" customHeight="1">
      <c r="A31" s="81">
        <v>26</v>
      </c>
      <c r="B31" s="95">
        <v>23</v>
      </c>
      <c r="C31" s="82" t="s">
        <v>74</v>
      </c>
      <c r="D31" s="83" t="s">
        <v>73</v>
      </c>
      <c r="E31" s="84" t="s">
        <v>31</v>
      </c>
      <c r="F31" s="85">
        <v>37622</v>
      </c>
    </row>
    <row r="32" spans="1:6" ht="16.5" customHeight="1">
      <c r="A32" s="81">
        <v>27</v>
      </c>
      <c r="B32" s="95">
        <v>24</v>
      </c>
      <c r="C32" s="82" t="s">
        <v>75</v>
      </c>
      <c r="D32" s="83" t="s">
        <v>73</v>
      </c>
      <c r="E32" s="84" t="s">
        <v>31</v>
      </c>
      <c r="F32" s="85">
        <v>37979</v>
      </c>
    </row>
    <row r="33" spans="1:6" ht="16.5" customHeight="1">
      <c r="A33" s="81">
        <v>28</v>
      </c>
      <c r="B33" s="96" t="s">
        <v>32</v>
      </c>
      <c r="C33" s="86" t="s">
        <v>32</v>
      </c>
      <c r="D33" s="87" t="s">
        <v>73</v>
      </c>
      <c r="E33" s="88" t="s">
        <v>31</v>
      </c>
      <c r="F33" s="89" t="s">
        <v>32</v>
      </c>
    </row>
    <row r="34" spans="1:6" ht="16.5" customHeight="1">
      <c r="A34" s="81">
        <v>29</v>
      </c>
      <c r="B34" s="97">
        <v>25</v>
      </c>
      <c r="C34" s="90" t="s">
        <v>76</v>
      </c>
      <c r="D34" s="91" t="s">
        <v>77</v>
      </c>
      <c r="E34" s="92" t="s">
        <v>31</v>
      </c>
      <c r="F34" s="93">
        <v>37987</v>
      </c>
    </row>
    <row r="35" spans="1:6" ht="16.5" customHeight="1">
      <c r="A35" s="81">
        <v>30</v>
      </c>
      <c r="B35" s="95">
        <v>26</v>
      </c>
      <c r="C35" s="82" t="s">
        <v>78</v>
      </c>
      <c r="D35" s="83" t="s">
        <v>77</v>
      </c>
      <c r="E35" s="84" t="s">
        <v>31</v>
      </c>
      <c r="F35" s="85">
        <v>37987</v>
      </c>
    </row>
    <row r="36" spans="1:6" ht="16.5" customHeight="1">
      <c r="A36" s="81">
        <v>31</v>
      </c>
      <c r="B36" s="95">
        <v>27</v>
      </c>
      <c r="C36" s="82" t="s">
        <v>79</v>
      </c>
      <c r="D36" s="83" t="s">
        <v>77</v>
      </c>
      <c r="E36" s="84" t="s">
        <v>31</v>
      </c>
      <c r="F36" s="85">
        <v>37987</v>
      </c>
    </row>
    <row r="37" spans="1:6" ht="16.5" customHeight="1">
      <c r="A37" s="81">
        <v>32</v>
      </c>
      <c r="B37" s="96">
        <v>28</v>
      </c>
      <c r="C37" s="86" t="s">
        <v>80</v>
      </c>
      <c r="D37" s="87" t="s">
        <v>77</v>
      </c>
      <c r="E37" s="88" t="s">
        <v>31</v>
      </c>
      <c r="F37" s="89">
        <v>37987</v>
      </c>
    </row>
    <row r="38" spans="1:6" ht="16.5" customHeight="1">
      <c r="A38" s="81">
        <v>33</v>
      </c>
      <c r="B38" s="97">
        <v>29</v>
      </c>
      <c r="C38" s="90" t="s">
        <v>81</v>
      </c>
      <c r="D38" s="91" t="s">
        <v>36</v>
      </c>
      <c r="E38" s="92" t="s">
        <v>31</v>
      </c>
      <c r="F38" s="93">
        <v>37712</v>
      </c>
    </row>
    <row r="39" spans="1:6" ht="16.5" customHeight="1">
      <c r="A39" s="81">
        <v>34</v>
      </c>
      <c r="B39" s="95">
        <v>30</v>
      </c>
      <c r="C39" s="82" t="s">
        <v>82</v>
      </c>
      <c r="D39" s="83" t="s">
        <v>36</v>
      </c>
      <c r="E39" s="84" t="s">
        <v>31</v>
      </c>
      <c r="F39" s="85">
        <v>37622</v>
      </c>
    </row>
    <row r="40" spans="1:6" ht="16.5" customHeight="1">
      <c r="A40" s="81">
        <v>35</v>
      </c>
      <c r="B40" s="95">
        <v>31</v>
      </c>
      <c r="C40" s="82" t="s">
        <v>83</v>
      </c>
      <c r="D40" s="83" t="s">
        <v>36</v>
      </c>
      <c r="E40" s="84" t="s">
        <v>31</v>
      </c>
      <c r="F40" s="85">
        <v>38111</v>
      </c>
    </row>
    <row r="41" spans="1:6" ht="16.5" customHeight="1">
      <c r="A41" s="81">
        <v>36</v>
      </c>
      <c r="B41" s="96">
        <v>32</v>
      </c>
      <c r="C41" s="86" t="s">
        <v>84</v>
      </c>
      <c r="D41" s="87" t="s">
        <v>36</v>
      </c>
      <c r="E41" s="88" t="s">
        <v>31</v>
      </c>
      <c r="F41" s="89">
        <v>38240</v>
      </c>
    </row>
    <row r="42" spans="1:6" ht="16.5" customHeight="1">
      <c r="A42" s="81">
        <v>37</v>
      </c>
      <c r="B42" s="97">
        <v>33</v>
      </c>
      <c r="C42" s="90" t="s">
        <v>85</v>
      </c>
      <c r="D42" s="91" t="s">
        <v>43</v>
      </c>
      <c r="E42" s="92" t="s">
        <v>31</v>
      </c>
      <c r="F42" s="93">
        <v>37792</v>
      </c>
    </row>
    <row r="43" spans="1:6" ht="16.5" customHeight="1">
      <c r="A43" s="81">
        <v>38</v>
      </c>
      <c r="B43" s="95">
        <v>34</v>
      </c>
      <c r="C43" s="82" t="s">
        <v>86</v>
      </c>
      <c r="D43" s="83" t="s">
        <v>43</v>
      </c>
      <c r="E43" s="84" t="s">
        <v>31</v>
      </c>
      <c r="F43" s="85">
        <v>37825</v>
      </c>
    </row>
    <row r="44" spans="1:6" ht="16.5" customHeight="1">
      <c r="A44" s="81">
        <v>39</v>
      </c>
      <c r="B44" s="95">
        <v>35</v>
      </c>
      <c r="C44" s="82" t="s">
        <v>87</v>
      </c>
      <c r="D44" s="83" t="s">
        <v>43</v>
      </c>
      <c r="E44" s="84" t="s">
        <v>31</v>
      </c>
      <c r="F44" s="85">
        <v>37950</v>
      </c>
    </row>
    <row r="45" spans="1:6" ht="16.5" customHeight="1">
      <c r="A45" s="81">
        <v>40</v>
      </c>
      <c r="B45" s="96">
        <v>36</v>
      </c>
      <c r="C45" s="86" t="s">
        <v>88</v>
      </c>
      <c r="D45" s="87" t="s">
        <v>43</v>
      </c>
      <c r="E45" s="88" t="s">
        <v>31</v>
      </c>
      <c r="F45" s="89">
        <v>37971</v>
      </c>
    </row>
    <row r="46" spans="1:6" ht="16.5" customHeight="1">
      <c r="A46" s="81">
        <v>41</v>
      </c>
      <c r="B46" s="97">
        <v>37</v>
      </c>
      <c r="C46" s="90" t="s">
        <v>89</v>
      </c>
      <c r="D46" s="91" t="s">
        <v>90</v>
      </c>
      <c r="E46" s="92" t="s">
        <v>31</v>
      </c>
      <c r="F46" s="93">
        <v>37622</v>
      </c>
    </row>
    <row r="47" spans="1:6" ht="16.5" customHeight="1">
      <c r="A47" s="81">
        <v>42</v>
      </c>
      <c r="B47" s="95">
        <v>38</v>
      </c>
      <c r="C47" s="82" t="s">
        <v>91</v>
      </c>
      <c r="D47" s="83" t="s">
        <v>90</v>
      </c>
      <c r="E47" s="84" t="s">
        <v>31</v>
      </c>
      <c r="F47" s="85">
        <v>37622</v>
      </c>
    </row>
    <row r="48" spans="1:6" ht="16.5" customHeight="1">
      <c r="A48" s="81">
        <v>43</v>
      </c>
      <c r="B48" s="95">
        <v>39</v>
      </c>
      <c r="C48" s="82" t="s">
        <v>92</v>
      </c>
      <c r="D48" s="83" t="s">
        <v>90</v>
      </c>
      <c r="E48" s="84" t="s">
        <v>31</v>
      </c>
      <c r="F48" s="85">
        <v>37622</v>
      </c>
    </row>
    <row r="49" spans="1:6" ht="16.5" customHeight="1">
      <c r="A49" s="81">
        <v>44</v>
      </c>
      <c r="B49" s="96">
        <v>40</v>
      </c>
      <c r="C49" s="86" t="s">
        <v>93</v>
      </c>
      <c r="D49" s="87" t="s">
        <v>90</v>
      </c>
      <c r="E49" s="88" t="s">
        <v>31</v>
      </c>
      <c r="F49" s="89">
        <v>37622</v>
      </c>
    </row>
    <row r="50" spans="1:6" ht="16.5" customHeight="1">
      <c r="A50" s="81">
        <v>45</v>
      </c>
      <c r="B50" s="97">
        <v>41</v>
      </c>
      <c r="C50" s="90" t="s">
        <v>94</v>
      </c>
      <c r="D50" s="91" t="s">
        <v>95</v>
      </c>
      <c r="E50" s="92" t="s">
        <v>31</v>
      </c>
      <c r="F50" s="93">
        <v>37892</v>
      </c>
    </row>
    <row r="51" spans="1:6" ht="16.5" customHeight="1">
      <c r="A51" s="81">
        <v>46</v>
      </c>
      <c r="B51" s="95">
        <v>42</v>
      </c>
      <c r="C51" s="82" t="s">
        <v>96</v>
      </c>
      <c r="D51" s="83" t="s">
        <v>95</v>
      </c>
      <c r="E51" s="84" t="s">
        <v>31</v>
      </c>
      <c r="F51" s="85">
        <v>37656</v>
      </c>
    </row>
    <row r="52" spans="1:6" ht="16.5" customHeight="1">
      <c r="A52" s="81">
        <v>47</v>
      </c>
      <c r="B52" s="95">
        <v>43</v>
      </c>
      <c r="C52" s="82" t="s">
        <v>97</v>
      </c>
      <c r="D52" s="83" t="s">
        <v>95</v>
      </c>
      <c r="E52" s="84" t="s">
        <v>31</v>
      </c>
      <c r="F52" s="85">
        <v>37654</v>
      </c>
    </row>
    <row r="53" spans="1:6" ht="16.5" customHeight="1">
      <c r="A53" s="81">
        <v>48</v>
      </c>
      <c r="B53" s="96">
        <v>44</v>
      </c>
      <c r="C53" s="86" t="s">
        <v>98</v>
      </c>
      <c r="D53" s="87" t="s">
        <v>95</v>
      </c>
      <c r="E53" s="88" t="s">
        <v>31</v>
      </c>
      <c r="F53" s="89">
        <v>37622</v>
      </c>
    </row>
    <row r="54" spans="1:6" ht="16.5" customHeight="1">
      <c r="A54" s="81">
        <v>49</v>
      </c>
      <c r="B54" s="97">
        <v>45</v>
      </c>
      <c r="C54" s="90" t="s">
        <v>99</v>
      </c>
      <c r="D54" s="91" t="s">
        <v>100</v>
      </c>
      <c r="E54" s="92" t="s">
        <v>31</v>
      </c>
      <c r="F54" s="93">
        <v>37810</v>
      </c>
    </row>
    <row r="55" spans="1:6" ht="16.5" customHeight="1">
      <c r="A55" s="81">
        <v>50</v>
      </c>
      <c r="B55" s="95">
        <v>46</v>
      </c>
      <c r="C55" s="82" t="s">
        <v>41</v>
      </c>
      <c r="D55" s="83" t="s">
        <v>100</v>
      </c>
      <c r="E55" s="84" t="s">
        <v>31</v>
      </c>
      <c r="F55" s="85">
        <v>37746</v>
      </c>
    </row>
    <row r="56" spans="1:6" ht="16.5" customHeight="1">
      <c r="A56" s="81">
        <v>51</v>
      </c>
      <c r="B56" s="95">
        <v>47</v>
      </c>
      <c r="C56" s="82" t="s">
        <v>101</v>
      </c>
      <c r="D56" s="83" t="s">
        <v>100</v>
      </c>
      <c r="E56" s="84" t="s">
        <v>31</v>
      </c>
      <c r="F56" s="85">
        <v>37622</v>
      </c>
    </row>
    <row r="57" spans="1:6" ht="16.5" customHeight="1">
      <c r="A57" s="81">
        <v>52</v>
      </c>
      <c r="B57" s="96">
        <v>101</v>
      </c>
      <c r="C57" s="86" t="s">
        <v>42</v>
      </c>
      <c r="D57" s="87" t="s">
        <v>100</v>
      </c>
      <c r="E57" s="88" t="s">
        <v>31</v>
      </c>
      <c r="F57" s="89">
        <v>37773</v>
      </c>
    </row>
    <row r="58" spans="1:6" ht="16.5" customHeight="1">
      <c r="A58" s="81">
        <v>53</v>
      </c>
      <c r="B58" s="97">
        <v>48</v>
      </c>
      <c r="C58" s="90" t="s">
        <v>102</v>
      </c>
      <c r="D58" s="91" t="s">
        <v>44</v>
      </c>
      <c r="E58" s="92" t="s">
        <v>31</v>
      </c>
      <c r="F58" s="93">
        <v>38037</v>
      </c>
    </row>
    <row r="59" spans="1:6" ht="16.5" customHeight="1">
      <c r="A59" s="81">
        <v>54</v>
      </c>
      <c r="B59" s="95">
        <v>49</v>
      </c>
      <c r="C59" s="82" t="s">
        <v>103</v>
      </c>
      <c r="D59" s="83" t="s">
        <v>44</v>
      </c>
      <c r="E59" s="84" t="s">
        <v>31</v>
      </c>
      <c r="F59" s="85">
        <v>37628</v>
      </c>
    </row>
    <row r="60" spans="1:6" ht="16.5" customHeight="1">
      <c r="A60" s="81">
        <v>55</v>
      </c>
      <c r="B60" s="95">
        <v>50</v>
      </c>
      <c r="C60" s="82" t="s">
        <v>104</v>
      </c>
      <c r="D60" s="83" t="s">
        <v>44</v>
      </c>
      <c r="E60" s="84" t="s">
        <v>31</v>
      </c>
      <c r="F60" s="85">
        <v>38010</v>
      </c>
    </row>
    <row r="61" spans="1:6" ht="16.5" customHeight="1">
      <c r="A61" s="81">
        <v>56</v>
      </c>
      <c r="B61" s="96">
        <v>51</v>
      </c>
      <c r="C61" s="86" t="s">
        <v>105</v>
      </c>
      <c r="D61" s="87" t="s">
        <v>44</v>
      </c>
      <c r="E61" s="88" t="s">
        <v>31</v>
      </c>
      <c r="F61" s="89">
        <v>37836</v>
      </c>
    </row>
    <row r="62" spans="1:6" ht="16.5" customHeight="1">
      <c r="A62" s="81">
        <v>57</v>
      </c>
      <c r="B62" s="97">
        <v>52</v>
      </c>
      <c r="C62" s="90" t="s">
        <v>106</v>
      </c>
      <c r="D62" s="91" t="s">
        <v>107</v>
      </c>
      <c r="E62" s="92" t="s">
        <v>31</v>
      </c>
      <c r="F62" s="93">
        <v>37988</v>
      </c>
    </row>
    <row r="63" spans="1:6" ht="16.5" customHeight="1">
      <c r="A63" s="81">
        <v>58</v>
      </c>
      <c r="B63" s="95">
        <v>53</v>
      </c>
      <c r="C63" s="82" t="s">
        <v>108</v>
      </c>
      <c r="D63" s="83" t="s">
        <v>107</v>
      </c>
      <c r="E63" s="84" t="s">
        <v>31</v>
      </c>
      <c r="F63" s="85">
        <v>37628</v>
      </c>
    </row>
    <row r="64" spans="1:6" ht="16.5" customHeight="1">
      <c r="A64" s="81">
        <v>59</v>
      </c>
      <c r="B64" s="95">
        <v>54</v>
      </c>
      <c r="C64" s="82" t="s">
        <v>109</v>
      </c>
      <c r="D64" s="83" t="s">
        <v>107</v>
      </c>
      <c r="E64" s="84" t="s">
        <v>31</v>
      </c>
      <c r="F64" s="85">
        <v>37888</v>
      </c>
    </row>
    <row r="65" spans="1:6" ht="16.5" customHeight="1">
      <c r="A65" s="81">
        <v>60</v>
      </c>
      <c r="B65" s="96">
        <v>55</v>
      </c>
      <c r="C65" s="86" t="s">
        <v>110</v>
      </c>
      <c r="D65" s="87" t="s">
        <v>107</v>
      </c>
      <c r="E65" s="88" t="s">
        <v>31</v>
      </c>
      <c r="F65" s="89">
        <v>37786</v>
      </c>
    </row>
    <row r="66" spans="1:6" ht="16.5" customHeight="1">
      <c r="A66" s="81">
        <v>61</v>
      </c>
      <c r="B66" s="97">
        <v>56</v>
      </c>
      <c r="C66" s="90" t="s">
        <v>111</v>
      </c>
      <c r="D66" s="91" t="s">
        <v>112</v>
      </c>
      <c r="E66" s="92" t="s">
        <v>31</v>
      </c>
      <c r="F66" s="93">
        <v>37622</v>
      </c>
    </row>
    <row r="67" spans="1:6" ht="16.5" customHeight="1">
      <c r="A67" s="81">
        <v>62</v>
      </c>
      <c r="B67" s="95">
        <v>57</v>
      </c>
      <c r="C67" s="82" t="s">
        <v>113</v>
      </c>
      <c r="D67" s="83" t="s">
        <v>112</v>
      </c>
      <c r="E67" s="84" t="s">
        <v>31</v>
      </c>
      <c r="F67" s="85">
        <v>37989</v>
      </c>
    </row>
    <row r="68" spans="1:6" ht="16.5" customHeight="1">
      <c r="A68" s="81">
        <v>63</v>
      </c>
      <c r="B68" s="95">
        <v>58</v>
      </c>
      <c r="C68" s="82" t="s">
        <v>114</v>
      </c>
      <c r="D68" s="83" t="s">
        <v>112</v>
      </c>
      <c r="E68" s="84" t="s">
        <v>31</v>
      </c>
      <c r="F68" s="85">
        <v>37987</v>
      </c>
    </row>
    <row r="69" spans="1:6" ht="16.5" customHeight="1">
      <c r="A69" s="81">
        <v>64</v>
      </c>
      <c r="B69" s="96">
        <v>59</v>
      </c>
      <c r="C69" s="86" t="s">
        <v>115</v>
      </c>
      <c r="D69" s="87" t="s">
        <v>112</v>
      </c>
      <c r="E69" s="88" t="s">
        <v>31</v>
      </c>
      <c r="F69" s="89">
        <v>37987</v>
      </c>
    </row>
    <row r="70" spans="1:6" ht="16.5" customHeight="1">
      <c r="A70" s="81">
        <v>65</v>
      </c>
      <c r="B70" s="97">
        <v>60</v>
      </c>
      <c r="C70" s="90" t="s">
        <v>116</v>
      </c>
      <c r="D70" s="91" t="s">
        <v>117</v>
      </c>
      <c r="E70" s="92" t="s">
        <v>31</v>
      </c>
      <c r="F70" s="93">
        <v>37622</v>
      </c>
    </row>
    <row r="71" spans="1:6" ht="16.5" customHeight="1">
      <c r="A71" s="81">
        <v>66</v>
      </c>
      <c r="B71" s="95">
        <v>61</v>
      </c>
      <c r="C71" s="82" t="s">
        <v>118</v>
      </c>
      <c r="D71" s="83" t="s">
        <v>117</v>
      </c>
      <c r="E71" s="84" t="s">
        <v>31</v>
      </c>
      <c r="F71" s="85">
        <v>37622</v>
      </c>
    </row>
    <row r="72" spans="1:6" ht="16.5" customHeight="1">
      <c r="A72" s="81">
        <v>67</v>
      </c>
      <c r="B72" s="95">
        <v>62</v>
      </c>
      <c r="C72" s="82" t="s">
        <v>119</v>
      </c>
      <c r="D72" s="83" t="s">
        <v>117</v>
      </c>
      <c r="E72" s="84" t="s">
        <v>31</v>
      </c>
      <c r="F72" s="85">
        <v>37622</v>
      </c>
    </row>
    <row r="73" spans="1:6" ht="16.5" customHeight="1">
      <c r="A73" s="81">
        <v>68</v>
      </c>
      <c r="B73" s="96">
        <v>63</v>
      </c>
      <c r="C73" s="86" t="s">
        <v>120</v>
      </c>
      <c r="D73" s="87" t="s">
        <v>117</v>
      </c>
      <c r="E73" s="88" t="s">
        <v>31</v>
      </c>
      <c r="F73" s="89">
        <v>37622</v>
      </c>
    </row>
    <row r="74" spans="1:6" ht="16.5" customHeight="1">
      <c r="A74" s="81">
        <v>69</v>
      </c>
      <c r="B74" s="97">
        <v>64</v>
      </c>
      <c r="C74" s="90" t="s">
        <v>121</v>
      </c>
      <c r="D74" s="91" t="s">
        <v>122</v>
      </c>
      <c r="E74" s="92" t="s">
        <v>31</v>
      </c>
      <c r="F74" s="93">
        <v>37987</v>
      </c>
    </row>
    <row r="75" spans="1:6" ht="16.5" customHeight="1">
      <c r="A75" s="81">
        <v>70</v>
      </c>
      <c r="B75" s="95">
        <v>65</v>
      </c>
      <c r="C75" s="82" t="s">
        <v>123</v>
      </c>
      <c r="D75" s="83" t="s">
        <v>122</v>
      </c>
      <c r="E75" s="84" t="s">
        <v>31</v>
      </c>
      <c r="F75" s="85">
        <v>38023</v>
      </c>
    </row>
    <row r="76" spans="1:6" ht="16.5" customHeight="1">
      <c r="A76" s="81">
        <v>71</v>
      </c>
      <c r="B76" s="95">
        <v>66</v>
      </c>
      <c r="C76" s="82" t="s">
        <v>124</v>
      </c>
      <c r="D76" s="83" t="s">
        <v>122</v>
      </c>
      <c r="E76" s="84" t="s">
        <v>31</v>
      </c>
      <c r="F76" s="85">
        <v>38003</v>
      </c>
    </row>
    <row r="77" spans="1:6" ht="16.5" customHeight="1">
      <c r="A77" s="81">
        <v>72</v>
      </c>
      <c r="B77" s="96">
        <v>67</v>
      </c>
      <c r="C77" s="86" t="s">
        <v>40</v>
      </c>
      <c r="D77" s="87" t="s">
        <v>122</v>
      </c>
      <c r="E77" s="88" t="s">
        <v>31</v>
      </c>
      <c r="F77" s="89">
        <v>37746</v>
      </c>
    </row>
    <row r="78" spans="1:6" ht="16.5" customHeight="1">
      <c r="A78" s="81">
        <v>73</v>
      </c>
      <c r="B78" s="97">
        <v>68</v>
      </c>
      <c r="C78" s="90" t="s">
        <v>125</v>
      </c>
      <c r="D78" s="91" t="s">
        <v>126</v>
      </c>
      <c r="E78" s="92" t="s">
        <v>31</v>
      </c>
      <c r="F78" s="93">
        <v>37622</v>
      </c>
    </row>
    <row r="79" spans="1:6" ht="16.5" customHeight="1">
      <c r="A79" s="81">
        <v>74</v>
      </c>
      <c r="B79" s="95">
        <v>69</v>
      </c>
      <c r="C79" s="82" t="s">
        <v>127</v>
      </c>
      <c r="D79" s="83" t="s">
        <v>126</v>
      </c>
      <c r="E79" s="84" t="s">
        <v>31</v>
      </c>
      <c r="F79" s="85">
        <v>37622</v>
      </c>
    </row>
    <row r="80" spans="1:6" ht="16.5" customHeight="1">
      <c r="A80" s="81">
        <v>75</v>
      </c>
      <c r="B80" s="95">
        <v>70</v>
      </c>
      <c r="C80" s="82" t="s">
        <v>128</v>
      </c>
      <c r="D80" s="83" t="s">
        <v>126</v>
      </c>
      <c r="E80" s="84" t="s">
        <v>31</v>
      </c>
      <c r="F80" s="85">
        <v>37987</v>
      </c>
    </row>
    <row r="81" spans="1:6" ht="16.5" customHeight="1">
      <c r="A81" s="81">
        <v>76</v>
      </c>
      <c r="B81" s="96" t="s">
        <v>32</v>
      </c>
      <c r="C81" s="86" t="s">
        <v>32</v>
      </c>
      <c r="D81" s="87" t="s">
        <v>126</v>
      </c>
      <c r="E81" s="88" t="s">
        <v>31</v>
      </c>
      <c r="F81" s="89" t="s">
        <v>32</v>
      </c>
    </row>
    <row r="82" spans="1:6" ht="16.5" customHeight="1">
      <c r="A82" s="81">
        <v>77</v>
      </c>
      <c r="B82" s="97">
        <v>71</v>
      </c>
      <c r="C82" s="90" t="s">
        <v>129</v>
      </c>
      <c r="D82" s="91" t="s">
        <v>130</v>
      </c>
      <c r="E82" s="92" t="s">
        <v>31</v>
      </c>
      <c r="F82" s="93" t="s">
        <v>131</v>
      </c>
    </row>
    <row r="83" spans="1:6" ht="16.5" customHeight="1">
      <c r="A83" s="81">
        <v>78</v>
      </c>
      <c r="B83" s="95">
        <v>72</v>
      </c>
      <c r="C83" s="82" t="s">
        <v>132</v>
      </c>
      <c r="D83" s="83" t="s">
        <v>130</v>
      </c>
      <c r="E83" s="84" t="s">
        <v>31</v>
      </c>
      <c r="F83" s="85" t="s">
        <v>133</v>
      </c>
    </row>
    <row r="84" spans="1:6" ht="16.5" customHeight="1">
      <c r="A84" s="81">
        <v>79</v>
      </c>
      <c r="B84" s="95">
        <v>73</v>
      </c>
      <c r="C84" s="82" t="s">
        <v>134</v>
      </c>
      <c r="D84" s="83" t="s">
        <v>130</v>
      </c>
      <c r="E84" s="84" t="s">
        <v>31</v>
      </c>
      <c r="F84" s="85">
        <v>37857</v>
      </c>
    </row>
    <row r="85" spans="1:6" ht="16.5" customHeight="1">
      <c r="A85" s="81">
        <v>80</v>
      </c>
      <c r="B85" s="96">
        <v>74</v>
      </c>
      <c r="C85" s="86" t="s">
        <v>135</v>
      </c>
      <c r="D85" s="87" t="s">
        <v>130</v>
      </c>
      <c r="E85" s="88" t="s">
        <v>31</v>
      </c>
      <c r="F85" s="89" t="s">
        <v>136</v>
      </c>
    </row>
    <row r="86" spans="1:6" ht="16.5" customHeight="1">
      <c r="A86" s="81">
        <v>81</v>
      </c>
      <c r="B86" s="97">
        <v>75</v>
      </c>
      <c r="C86" s="90" t="s">
        <v>137</v>
      </c>
      <c r="D86" s="91" t="s">
        <v>138</v>
      </c>
      <c r="E86" s="92" t="s">
        <v>31</v>
      </c>
      <c r="F86" s="93">
        <v>37622</v>
      </c>
    </row>
    <row r="87" spans="1:6" ht="16.5" customHeight="1">
      <c r="A87" s="81">
        <v>82</v>
      </c>
      <c r="B87" s="95">
        <v>76</v>
      </c>
      <c r="C87" s="82" t="s">
        <v>139</v>
      </c>
      <c r="D87" s="83" t="s">
        <v>138</v>
      </c>
      <c r="E87" s="84" t="s">
        <v>31</v>
      </c>
      <c r="F87" s="85">
        <v>37622</v>
      </c>
    </row>
    <row r="88" spans="1:6" ht="16.5" customHeight="1">
      <c r="A88" s="81">
        <v>83</v>
      </c>
      <c r="B88" s="95">
        <v>77</v>
      </c>
      <c r="C88" s="82" t="s">
        <v>140</v>
      </c>
      <c r="D88" s="83" t="s">
        <v>138</v>
      </c>
      <c r="E88" s="84" t="s">
        <v>31</v>
      </c>
      <c r="F88" s="85">
        <v>37622</v>
      </c>
    </row>
    <row r="89" spans="1:6" ht="16.5" customHeight="1">
      <c r="A89" s="81">
        <v>84</v>
      </c>
      <c r="B89" s="96">
        <v>78</v>
      </c>
      <c r="C89" s="86" t="s">
        <v>141</v>
      </c>
      <c r="D89" s="87" t="s">
        <v>138</v>
      </c>
      <c r="E89" s="88" t="s">
        <v>31</v>
      </c>
      <c r="F89" s="89">
        <v>37622</v>
      </c>
    </row>
    <row r="90" spans="1:6" ht="16.5" customHeight="1">
      <c r="A90" s="81">
        <v>85</v>
      </c>
      <c r="B90" s="97">
        <v>79</v>
      </c>
      <c r="C90" s="90" t="s">
        <v>142</v>
      </c>
      <c r="D90" s="91" t="s">
        <v>143</v>
      </c>
      <c r="E90" s="92" t="s">
        <v>31</v>
      </c>
      <c r="F90" s="93">
        <v>37649</v>
      </c>
    </row>
    <row r="91" spans="1:6" ht="16.5" customHeight="1">
      <c r="A91" s="81">
        <v>86</v>
      </c>
      <c r="B91" s="95">
        <v>80</v>
      </c>
      <c r="C91" s="82" t="s">
        <v>144</v>
      </c>
      <c r="D91" s="83" t="s">
        <v>143</v>
      </c>
      <c r="E91" s="84" t="s">
        <v>31</v>
      </c>
      <c r="F91" s="85">
        <v>37622</v>
      </c>
    </row>
    <row r="92" spans="1:6" ht="16.5" customHeight="1">
      <c r="A92" s="81">
        <v>87</v>
      </c>
      <c r="B92" s="95">
        <v>81</v>
      </c>
      <c r="C92" s="82" t="s">
        <v>145</v>
      </c>
      <c r="D92" s="83" t="s">
        <v>143</v>
      </c>
      <c r="E92" s="84" t="s">
        <v>31</v>
      </c>
      <c r="F92" s="85">
        <v>37790</v>
      </c>
    </row>
    <row r="93" spans="1:6" ht="16.5" customHeight="1">
      <c r="A93" s="81">
        <v>88</v>
      </c>
      <c r="B93" s="96" t="s">
        <v>32</v>
      </c>
      <c r="C93" s="86" t="s">
        <v>32</v>
      </c>
      <c r="D93" s="87" t="s">
        <v>143</v>
      </c>
      <c r="E93" s="88" t="s">
        <v>31</v>
      </c>
      <c r="F93" s="89" t="s">
        <v>32</v>
      </c>
    </row>
    <row r="94" spans="1:6" ht="16.5" customHeight="1">
      <c r="A94" s="81">
        <v>89</v>
      </c>
      <c r="B94" s="97">
        <v>82</v>
      </c>
      <c r="C94" s="90" t="s">
        <v>38</v>
      </c>
      <c r="D94" s="91" t="s">
        <v>146</v>
      </c>
      <c r="E94" s="92" t="s">
        <v>31</v>
      </c>
      <c r="F94" s="93">
        <v>37700</v>
      </c>
    </row>
    <row r="95" spans="1:6" ht="16.5" customHeight="1">
      <c r="A95" s="81">
        <v>90</v>
      </c>
      <c r="B95" s="95">
        <v>83</v>
      </c>
      <c r="C95" s="82" t="s">
        <v>147</v>
      </c>
      <c r="D95" s="83" t="s">
        <v>146</v>
      </c>
      <c r="E95" s="84" t="s">
        <v>31</v>
      </c>
      <c r="F95" s="85">
        <v>37801</v>
      </c>
    </row>
    <row r="96" spans="1:6" ht="16.5" customHeight="1">
      <c r="A96" s="81">
        <v>91</v>
      </c>
      <c r="B96" s="95">
        <v>84</v>
      </c>
      <c r="C96" s="82" t="s">
        <v>148</v>
      </c>
      <c r="D96" s="83" t="s">
        <v>146</v>
      </c>
      <c r="E96" s="84" t="s">
        <v>31</v>
      </c>
      <c r="F96" s="85">
        <v>38307</v>
      </c>
    </row>
    <row r="97" spans="1:6" ht="16.5" customHeight="1">
      <c r="A97" s="81">
        <v>92</v>
      </c>
      <c r="B97" s="96">
        <v>85</v>
      </c>
      <c r="C97" s="86" t="s">
        <v>149</v>
      </c>
      <c r="D97" s="87" t="s">
        <v>146</v>
      </c>
      <c r="E97" s="88" t="s">
        <v>31</v>
      </c>
      <c r="F97" s="89">
        <v>37688</v>
      </c>
    </row>
    <row r="98" spans="1:6" ht="16.5" customHeight="1">
      <c r="A98" s="81">
        <v>93</v>
      </c>
      <c r="B98" s="97">
        <v>86</v>
      </c>
      <c r="C98" s="90" t="s">
        <v>150</v>
      </c>
      <c r="D98" s="91" t="s">
        <v>151</v>
      </c>
      <c r="E98" s="92" t="s">
        <v>31</v>
      </c>
      <c r="F98" s="93">
        <v>37829</v>
      </c>
    </row>
    <row r="99" spans="1:6" ht="16.5" customHeight="1">
      <c r="A99" s="81">
        <v>94</v>
      </c>
      <c r="B99" s="95">
        <v>87</v>
      </c>
      <c r="C99" s="82" t="s">
        <v>152</v>
      </c>
      <c r="D99" s="83" t="s">
        <v>151</v>
      </c>
      <c r="E99" s="84" t="s">
        <v>31</v>
      </c>
      <c r="F99" s="85">
        <v>37967</v>
      </c>
    </row>
    <row r="100" spans="1:6" ht="16.5" customHeight="1">
      <c r="A100" s="81">
        <v>95</v>
      </c>
      <c r="B100" s="95">
        <v>88</v>
      </c>
      <c r="C100" s="82" t="s">
        <v>153</v>
      </c>
      <c r="D100" s="83" t="s">
        <v>151</v>
      </c>
      <c r="E100" s="84" t="s">
        <v>31</v>
      </c>
      <c r="F100" s="85">
        <v>37875</v>
      </c>
    </row>
    <row r="101" spans="1:6" ht="16.5" customHeight="1">
      <c r="A101" s="81">
        <v>96</v>
      </c>
      <c r="B101" s="96">
        <v>89</v>
      </c>
      <c r="C101" s="86" t="s">
        <v>154</v>
      </c>
      <c r="D101" s="87" t="s">
        <v>151</v>
      </c>
      <c r="E101" s="88" t="s">
        <v>31</v>
      </c>
      <c r="F101" s="89">
        <v>37698</v>
      </c>
    </row>
    <row r="102" spans="1:6" ht="16.5" customHeight="1">
      <c r="A102" s="81">
        <v>97</v>
      </c>
      <c r="B102" s="97">
        <v>90</v>
      </c>
      <c r="C102" s="90" t="s">
        <v>155</v>
      </c>
      <c r="D102" s="91" t="s">
        <v>156</v>
      </c>
      <c r="E102" s="92" t="s">
        <v>31</v>
      </c>
      <c r="F102" s="93">
        <v>37744</v>
      </c>
    </row>
    <row r="103" spans="1:6" ht="16.5" customHeight="1">
      <c r="A103" s="81">
        <v>98</v>
      </c>
      <c r="B103" s="95">
        <v>91</v>
      </c>
      <c r="C103" s="82" t="s">
        <v>157</v>
      </c>
      <c r="D103" s="83" t="s">
        <v>156</v>
      </c>
      <c r="E103" s="84" t="s">
        <v>31</v>
      </c>
      <c r="F103" s="85">
        <v>37671</v>
      </c>
    </row>
    <row r="104" spans="1:6" ht="16.5" customHeight="1">
      <c r="A104" s="81">
        <v>99</v>
      </c>
      <c r="B104" s="95">
        <v>92</v>
      </c>
      <c r="C104" s="82" t="s">
        <v>158</v>
      </c>
      <c r="D104" s="83" t="s">
        <v>156</v>
      </c>
      <c r="E104" s="84" t="s">
        <v>31</v>
      </c>
      <c r="F104" s="85">
        <v>37761</v>
      </c>
    </row>
    <row r="105" spans="1:6" ht="16.5" customHeight="1">
      <c r="A105" s="81">
        <v>100</v>
      </c>
      <c r="B105" s="96">
        <v>93</v>
      </c>
      <c r="C105" s="86" t="s">
        <v>159</v>
      </c>
      <c r="D105" s="87" t="s">
        <v>156</v>
      </c>
      <c r="E105" s="88" t="s">
        <v>31</v>
      </c>
      <c r="F105" s="89">
        <v>37664</v>
      </c>
    </row>
    <row r="106" spans="1:6" ht="16.5" customHeight="1">
      <c r="A106" s="81">
        <v>101</v>
      </c>
      <c r="B106" s="97">
        <v>94</v>
      </c>
      <c r="C106" s="90" t="s">
        <v>160</v>
      </c>
      <c r="D106" s="91" t="s">
        <v>161</v>
      </c>
      <c r="E106" s="92" t="s">
        <v>31</v>
      </c>
      <c r="F106" s="93">
        <v>37987</v>
      </c>
    </row>
    <row r="107" spans="1:6" ht="16.5" customHeight="1">
      <c r="A107" s="81">
        <v>102</v>
      </c>
      <c r="B107" s="95">
        <v>95</v>
      </c>
      <c r="C107" s="82" t="s">
        <v>162</v>
      </c>
      <c r="D107" s="83" t="s">
        <v>161</v>
      </c>
      <c r="E107" s="84" t="s">
        <v>31</v>
      </c>
      <c r="F107" s="85">
        <v>37681</v>
      </c>
    </row>
    <row r="108" spans="1:6" ht="16.5" customHeight="1">
      <c r="A108" s="81">
        <v>103</v>
      </c>
      <c r="B108" s="95">
        <v>96</v>
      </c>
      <c r="C108" s="82" t="s">
        <v>163</v>
      </c>
      <c r="D108" s="83" t="s">
        <v>161</v>
      </c>
      <c r="E108" s="84" t="s">
        <v>31</v>
      </c>
      <c r="F108" s="85">
        <v>37651</v>
      </c>
    </row>
    <row r="109" spans="1:6" ht="16.5" customHeight="1">
      <c r="A109" s="81">
        <v>104</v>
      </c>
      <c r="B109" s="96">
        <v>97</v>
      </c>
      <c r="C109" s="86" t="s">
        <v>164</v>
      </c>
      <c r="D109" s="87" t="s">
        <v>161</v>
      </c>
      <c r="E109" s="88" t="s">
        <v>31</v>
      </c>
      <c r="F109" s="89">
        <v>37718</v>
      </c>
    </row>
    <row r="110" spans="1:6" ht="16.5" customHeight="1">
      <c r="A110" s="81">
        <v>105</v>
      </c>
      <c r="B110" s="97">
        <v>98</v>
      </c>
      <c r="C110" s="90" t="s">
        <v>165</v>
      </c>
      <c r="D110" s="91" t="s">
        <v>166</v>
      </c>
      <c r="E110" s="92" t="s">
        <v>31</v>
      </c>
      <c r="F110" s="93">
        <v>38198</v>
      </c>
    </row>
    <row r="111" spans="1:6" ht="16.5" customHeight="1">
      <c r="A111" s="81">
        <v>106</v>
      </c>
      <c r="B111" s="95">
        <v>99</v>
      </c>
      <c r="C111" s="82" t="s">
        <v>167</v>
      </c>
      <c r="D111" s="83" t="s">
        <v>166</v>
      </c>
      <c r="E111" s="84" t="s">
        <v>31</v>
      </c>
      <c r="F111" s="85">
        <v>37622</v>
      </c>
    </row>
    <row r="112" spans="1:6" ht="16.5" customHeight="1">
      <c r="A112" s="81">
        <v>107</v>
      </c>
      <c r="B112" s="95">
        <v>100</v>
      </c>
      <c r="C112" s="82" t="s">
        <v>168</v>
      </c>
      <c r="D112" s="83" t="s">
        <v>166</v>
      </c>
      <c r="E112" s="84" t="s">
        <v>31</v>
      </c>
      <c r="F112" s="85">
        <v>37653</v>
      </c>
    </row>
    <row r="113" spans="1:6" ht="16.5" customHeight="1">
      <c r="A113" s="81">
        <v>108</v>
      </c>
      <c r="B113" s="96" t="s">
        <v>32</v>
      </c>
      <c r="C113" s="86" t="s">
        <v>32</v>
      </c>
      <c r="D113" s="87" t="s">
        <v>166</v>
      </c>
      <c r="E113" s="88" t="s">
        <v>31</v>
      </c>
      <c r="F113" s="89" t="s">
        <v>32</v>
      </c>
    </row>
    <row r="114" spans="1:6" ht="16.5" customHeight="1">
      <c r="A114" s="81">
        <v>109</v>
      </c>
      <c r="B114" s="97">
        <v>102</v>
      </c>
      <c r="C114" s="90" t="s">
        <v>189</v>
      </c>
      <c r="D114" s="91" t="s">
        <v>188</v>
      </c>
      <c r="E114" s="92" t="s">
        <v>31</v>
      </c>
      <c r="F114" s="93">
        <v>37873</v>
      </c>
    </row>
    <row r="115" spans="1:6" ht="16.5" customHeight="1">
      <c r="A115" s="81">
        <v>110</v>
      </c>
      <c r="B115" s="95">
        <v>103</v>
      </c>
      <c r="C115" s="82" t="s">
        <v>190</v>
      </c>
      <c r="D115" s="83" t="s">
        <v>188</v>
      </c>
      <c r="E115" s="84" t="s">
        <v>31</v>
      </c>
      <c r="F115" s="85">
        <v>37827</v>
      </c>
    </row>
    <row r="116" spans="1:6" ht="16.5" customHeight="1">
      <c r="A116" s="81">
        <v>111</v>
      </c>
      <c r="B116" s="95">
        <v>104</v>
      </c>
      <c r="C116" s="82" t="s">
        <v>191</v>
      </c>
      <c r="D116" s="83" t="s">
        <v>188</v>
      </c>
      <c r="E116" s="84" t="s">
        <v>31</v>
      </c>
      <c r="F116" s="85">
        <v>37786</v>
      </c>
    </row>
    <row r="117" spans="1:6" ht="16.5" customHeight="1">
      <c r="A117" s="81">
        <v>112</v>
      </c>
      <c r="B117" s="96" t="s">
        <v>32</v>
      </c>
      <c r="C117" s="86" t="s">
        <v>32</v>
      </c>
      <c r="D117" s="87" t="s">
        <v>188</v>
      </c>
      <c r="E117" s="88" t="s">
        <v>31</v>
      </c>
      <c r="F117" s="89" t="s">
        <v>32</v>
      </c>
    </row>
    <row r="118" spans="1:6" ht="16.5" customHeight="1">
      <c r="A118" s="81">
        <v>113</v>
      </c>
      <c r="B118" s="97">
        <v>500</v>
      </c>
      <c r="C118" s="90" t="s">
        <v>169</v>
      </c>
      <c r="D118" s="91" t="s">
        <v>170</v>
      </c>
      <c r="E118" s="92" t="s">
        <v>35</v>
      </c>
      <c r="F118" s="93">
        <v>37987</v>
      </c>
    </row>
    <row r="119" spans="1:6" ht="16.5" customHeight="1">
      <c r="A119" s="81">
        <v>114</v>
      </c>
      <c r="B119" s="95">
        <v>501</v>
      </c>
      <c r="C119" s="82" t="s">
        <v>171</v>
      </c>
      <c r="D119" s="83" t="s">
        <v>172</v>
      </c>
      <c r="E119" s="84" t="s">
        <v>35</v>
      </c>
      <c r="F119" s="85">
        <v>37920</v>
      </c>
    </row>
    <row r="120" spans="1:6" ht="16.5" customHeight="1">
      <c r="A120" s="81">
        <v>115</v>
      </c>
      <c r="B120" s="95">
        <v>502</v>
      </c>
      <c r="C120" s="82" t="s">
        <v>173</v>
      </c>
      <c r="D120" s="83" t="s">
        <v>172</v>
      </c>
      <c r="E120" s="84" t="s">
        <v>35</v>
      </c>
      <c r="F120" s="85">
        <v>37821</v>
      </c>
    </row>
    <row r="121" spans="1:6" ht="16.5" customHeight="1">
      <c r="A121" s="81">
        <v>116</v>
      </c>
      <c r="B121" s="96">
        <v>503</v>
      </c>
      <c r="C121" s="86" t="s">
        <v>174</v>
      </c>
      <c r="D121" s="87" t="s">
        <v>37</v>
      </c>
      <c r="E121" s="88" t="s">
        <v>35</v>
      </c>
      <c r="F121" s="89">
        <v>37987</v>
      </c>
    </row>
    <row r="122" spans="1:6" ht="16.5" customHeight="1">
      <c r="A122" s="81">
        <v>117</v>
      </c>
      <c r="B122" s="97">
        <v>504</v>
      </c>
      <c r="C122" s="90" t="s">
        <v>175</v>
      </c>
      <c r="D122" s="91" t="s">
        <v>176</v>
      </c>
      <c r="E122" s="92" t="s">
        <v>35</v>
      </c>
      <c r="F122" s="93">
        <v>37711</v>
      </c>
    </row>
    <row r="123" spans="1:6" ht="16.5" customHeight="1">
      <c r="A123" s="81">
        <v>118</v>
      </c>
      <c r="B123" s="95">
        <v>505</v>
      </c>
      <c r="C123" s="82" t="s">
        <v>177</v>
      </c>
      <c r="D123" s="83" t="s">
        <v>45</v>
      </c>
      <c r="E123" s="84" t="s">
        <v>35</v>
      </c>
      <c r="F123" s="85">
        <v>37622</v>
      </c>
    </row>
    <row r="124" spans="1:6" ht="16.5" customHeight="1">
      <c r="A124" s="81">
        <v>119</v>
      </c>
      <c r="B124" s="95">
        <v>506</v>
      </c>
      <c r="C124" s="82" t="s">
        <v>178</v>
      </c>
      <c r="D124" s="83" t="s">
        <v>45</v>
      </c>
      <c r="E124" s="84" t="s">
        <v>35</v>
      </c>
      <c r="F124" s="85">
        <v>37733</v>
      </c>
    </row>
    <row r="125" spans="1:6" ht="16.5" customHeight="1">
      <c r="A125" s="81">
        <v>120</v>
      </c>
      <c r="B125" s="96">
        <v>507</v>
      </c>
      <c r="C125" s="86" t="s">
        <v>179</v>
      </c>
      <c r="D125" s="87" t="s">
        <v>151</v>
      </c>
      <c r="E125" s="88" t="s">
        <v>35</v>
      </c>
      <c r="F125" s="89">
        <v>37819</v>
      </c>
    </row>
    <row r="126" spans="1:6" ht="16.5" customHeight="1">
      <c r="A126" s="81">
        <v>121</v>
      </c>
      <c r="B126" s="97">
        <v>508</v>
      </c>
      <c r="C126" s="90" t="s">
        <v>180</v>
      </c>
      <c r="D126" s="91" t="s">
        <v>46</v>
      </c>
      <c r="E126" s="92" t="s">
        <v>35</v>
      </c>
      <c r="F126" s="93">
        <v>37751</v>
      </c>
    </row>
    <row r="127" spans="1:6" ht="16.5" customHeight="1">
      <c r="A127" s="81">
        <v>122</v>
      </c>
      <c r="B127" s="95">
        <v>509</v>
      </c>
      <c r="C127" s="82" t="s">
        <v>181</v>
      </c>
      <c r="D127" s="83" t="s">
        <v>182</v>
      </c>
      <c r="E127" s="84" t="s">
        <v>35</v>
      </c>
      <c r="F127" s="85">
        <v>37622</v>
      </c>
    </row>
    <row r="128" spans="1:6" ht="16.5" customHeight="1">
      <c r="A128" s="81">
        <v>123</v>
      </c>
      <c r="B128" s="95">
        <v>510</v>
      </c>
      <c r="C128" s="82" t="s">
        <v>183</v>
      </c>
      <c r="D128" s="83" t="s">
        <v>184</v>
      </c>
      <c r="E128" s="84" t="s">
        <v>35</v>
      </c>
      <c r="F128" s="85">
        <v>37906</v>
      </c>
    </row>
    <row r="129" spans="1:6" ht="16.5" customHeight="1">
      <c r="A129" s="81">
        <v>124</v>
      </c>
      <c r="B129" s="96"/>
      <c r="C129" s="86"/>
      <c r="D129" s="87"/>
      <c r="E129" s="88"/>
      <c r="F129" s="89"/>
    </row>
    <row r="130" spans="1:6" ht="16.5" customHeight="1">
      <c r="A130" s="81">
        <v>125</v>
      </c>
      <c r="B130" s="97"/>
      <c r="C130" s="90"/>
      <c r="D130" s="91"/>
      <c r="E130" s="92"/>
      <c r="F130" s="93"/>
    </row>
    <row r="131" spans="1:6" ht="16.5" customHeight="1">
      <c r="A131" s="81">
        <v>126</v>
      </c>
      <c r="B131" s="95"/>
      <c r="C131" s="82"/>
      <c r="D131" s="83"/>
      <c r="E131" s="84"/>
      <c r="F131" s="85"/>
    </row>
    <row r="132" spans="1:6" ht="16.5" customHeight="1">
      <c r="A132" s="81">
        <v>127</v>
      </c>
      <c r="B132" s="95"/>
      <c r="C132" s="82"/>
      <c r="D132" s="83"/>
      <c r="E132" s="84"/>
      <c r="F132" s="85"/>
    </row>
    <row r="133" spans="1:6" ht="16.5" customHeight="1">
      <c r="A133" s="81">
        <v>128</v>
      </c>
      <c r="B133" s="96"/>
      <c r="C133" s="86"/>
      <c r="D133" s="87"/>
      <c r="E133" s="88"/>
      <c r="F133" s="89"/>
    </row>
    <row r="134" spans="1:6" ht="16.5" customHeight="1">
      <c r="A134" s="81">
        <v>129</v>
      </c>
      <c r="B134" s="97"/>
      <c r="C134" s="90"/>
      <c r="D134" s="91"/>
      <c r="E134" s="92"/>
      <c r="F134" s="93"/>
    </row>
    <row r="135" spans="1:6" ht="16.5" customHeight="1">
      <c r="A135" s="81">
        <v>130</v>
      </c>
      <c r="B135" s="95"/>
      <c r="C135" s="82"/>
      <c r="D135" s="83"/>
      <c r="E135" s="84"/>
      <c r="F135" s="85"/>
    </row>
    <row r="136" spans="1:6" ht="16.5" customHeight="1">
      <c r="A136" s="81">
        <v>131</v>
      </c>
      <c r="B136" s="95"/>
      <c r="C136" s="82"/>
      <c r="D136" s="83"/>
      <c r="E136" s="84"/>
      <c r="F136" s="85"/>
    </row>
    <row r="137" spans="1:6" ht="16.5" customHeight="1">
      <c r="A137" s="81">
        <v>132</v>
      </c>
      <c r="B137" s="96"/>
      <c r="C137" s="86"/>
      <c r="D137" s="87"/>
      <c r="E137" s="88"/>
      <c r="F137" s="89"/>
    </row>
    <row r="138" spans="1:6" ht="16.5" customHeight="1">
      <c r="A138" s="81">
        <v>133</v>
      </c>
      <c r="B138" s="97"/>
      <c r="C138" s="90"/>
      <c r="D138" s="91"/>
      <c r="E138" s="92"/>
      <c r="F138" s="93"/>
    </row>
    <row r="139" spans="1:6" ht="16.5" customHeight="1">
      <c r="A139" s="81">
        <v>134</v>
      </c>
      <c r="B139" s="95"/>
      <c r="C139" s="82"/>
      <c r="D139" s="83"/>
      <c r="E139" s="84"/>
      <c r="F139" s="85"/>
    </row>
    <row r="140" spans="1:6" ht="16.5" customHeight="1">
      <c r="A140" s="81">
        <v>135</v>
      </c>
      <c r="B140" s="95"/>
      <c r="C140" s="82"/>
      <c r="D140" s="83"/>
      <c r="E140" s="84"/>
      <c r="F140" s="85"/>
    </row>
    <row r="141" spans="1:6" ht="16.5" customHeight="1">
      <c r="A141" s="81">
        <v>136</v>
      </c>
      <c r="B141" s="96"/>
      <c r="C141" s="86"/>
      <c r="D141" s="87"/>
      <c r="E141" s="88"/>
      <c r="F141" s="89"/>
    </row>
    <row r="142" spans="1:6" ht="16.5" customHeight="1">
      <c r="A142" s="81">
        <v>137</v>
      </c>
      <c r="B142" s="97"/>
      <c r="C142" s="90"/>
      <c r="D142" s="91"/>
      <c r="E142" s="92"/>
      <c r="F142" s="93"/>
    </row>
    <row r="143" spans="1:6" ht="16.5" customHeight="1">
      <c r="A143" s="81">
        <v>138</v>
      </c>
      <c r="B143" s="95"/>
      <c r="C143" s="82"/>
      <c r="D143" s="83"/>
      <c r="E143" s="84"/>
      <c r="F143" s="85"/>
    </row>
    <row r="144" spans="1:6" ht="16.5" customHeight="1">
      <c r="A144" s="81">
        <v>139</v>
      </c>
      <c r="B144" s="95"/>
      <c r="C144" s="82"/>
      <c r="D144" s="83"/>
      <c r="E144" s="84"/>
      <c r="F144" s="85"/>
    </row>
    <row r="145" spans="1:6" ht="16.5" customHeight="1">
      <c r="A145" s="81">
        <v>140</v>
      </c>
      <c r="B145" s="96"/>
      <c r="C145" s="86"/>
      <c r="D145" s="87"/>
      <c r="E145" s="88"/>
      <c r="F145" s="89"/>
    </row>
    <row r="146" spans="1:6" ht="16.5" customHeight="1">
      <c r="A146" s="81">
        <v>141</v>
      </c>
      <c r="B146" s="97"/>
      <c r="C146" s="90"/>
      <c r="D146" s="91"/>
      <c r="E146" s="92"/>
      <c r="F146" s="93"/>
    </row>
    <row r="147" spans="1:6" ht="16.5" customHeight="1">
      <c r="A147" s="81">
        <v>142</v>
      </c>
      <c r="B147" s="95"/>
      <c r="C147" s="82"/>
      <c r="D147" s="83"/>
      <c r="E147" s="84"/>
      <c r="F147" s="85"/>
    </row>
    <row r="148" spans="1:6" ht="16.5" customHeight="1">
      <c r="A148" s="81">
        <v>143</v>
      </c>
      <c r="B148" s="95"/>
      <c r="C148" s="82"/>
      <c r="D148" s="83"/>
      <c r="E148" s="84"/>
      <c r="F148" s="85"/>
    </row>
    <row r="149" spans="1:6" ht="16.5" customHeight="1">
      <c r="A149" s="81">
        <v>144</v>
      </c>
      <c r="B149" s="96"/>
      <c r="C149" s="86"/>
      <c r="D149" s="87"/>
      <c r="E149" s="88"/>
      <c r="F149" s="89"/>
    </row>
    <row r="150" spans="1:6" ht="16.5" customHeight="1">
      <c r="A150" s="81">
        <v>145</v>
      </c>
      <c r="B150" s="97"/>
      <c r="C150" s="90"/>
      <c r="D150" s="91"/>
      <c r="E150" s="92"/>
      <c r="F150" s="93"/>
    </row>
    <row r="151" spans="1:6" ht="16.5" customHeight="1">
      <c r="A151" s="81">
        <v>146</v>
      </c>
      <c r="B151" s="95"/>
      <c r="C151" s="82"/>
      <c r="D151" s="83"/>
      <c r="E151" s="84"/>
      <c r="F151" s="85"/>
    </row>
    <row r="152" spans="1:6" ht="16.5" customHeight="1">
      <c r="A152" s="81">
        <v>147</v>
      </c>
      <c r="B152" s="95"/>
      <c r="C152" s="82"/>
      <c r="D152" s="83"/>
      <c r="E152" s="84"/>
      <c r="F152" s="85"/>
    </row>
    <row r="153" spans="1:6" ht="16.5" customHeight="1">
      <c r="A153" s="81">
        <v>148</v>
      </c>
      <c r="B153" s="96"/>
      <c r="C153" s="86"/>
      <c r="D153" s="87"/>
      <c r="E153" s="88"/>
      <c r="F153" s="89"/>
    </row>
    <row r="154" spans="1:6" ht="16.5" customHeight="1">
      <c r="A154" s="81">
        <v>149</v>
      </c>
      <c r="B154" s="97"/>
      <c r="C154" s="90"/>
      <c r="D154" s="91"/>
      <c r="E154" s="92"/>
      <c r="F154" s="93"/>
    </row>
    <row r="155" spans="1:6" ht="16.5" customHeight="1">
      <c r="A155" s="81">
        <v>150</v>
      </c>
      <c r="B155" s="95"/>
      <c r="C155" s="82"/>
      <c r="D155" s="83"/>
      <c r="E155" s="84"/>
      <c r="F155" s="85"/>
    </row>
    <row r="156" spans="1:6" ht="16.5" customHeight="1">
      <c r="A156" s="81">
        <v>151</v>
      </c>
      <c r="B156" s="95"/>
      <c r="C156" s="82"/>
      <c r="D156" s="83"/>
      <c r="E156" s="84"/>
      <c r="F156" s="85"/>
    </row>
    <row r="157" spans="1:6" ht="16.5" customHeight="1">
      <c r="A157" s="81">
        <v>152</v>
      </c>
      <c r="B157" s="96"/>
      <c r="C157" s="86"/>
      <c r="D157" s="87"/>
      <c r="E157" s="88"/>
      <c r="F157" s="89"/>
    </row>
    <row r="158" spans="1:6" ht="16.5" customHeight="1">
      <c r="A158" s="81">
        <v>153</v>
      </c>
      <c r="B158" s="97"/>
      <c r="C158" s="90"/>
      <c r="D158" s="91"/>
      <c r="E158" s="92"/>
      <c r="F158" s="93"/>
    </row>
    <row r="159" spans="1:6" ht="16.5" customHeight="1">
      <c r="A159" s="81">
        <v>154</v>
      </c>
      <c r="B159" s="95"/>
      <c r="C159" s="82"/>
      <c r="D159" s="83"/>
      <c r="E159" s="84"/>
      <c r="F159" s="85"/>
    </row>
    <row r="160" spans="1:6" ht="16.5" customHeight="1">
      <c r="A160" s="81">
        <v>155</v>
      </c>
      <c r="B160" s="95"/>
      <c r="C160" s="82"/>
      <c r="D160" s="83"/>
      <c r="E160" s="84"/>
      <c r="F160" s="85"/>
    </row>
    <row r="161" spans="1:6" ht="16.5" customHeight="1">
      <c r="A161" s="81">
        <v>156</v>
      </c>
      <c r="B161" s="96"/>
      <c r="C161" s="86"/>
      <c r="D161" s="87"/>
      <c r="E161" s="88"/>
      <c r="F161" s="89"/>
    </row>
    <row r="162" spans="1:6" ht="16.5" customHeight="1">
      <c r="A162" s="81">
        <v>157</v>
      </c>
      <c r="B162" s="97"/>
      <c r="C162" s="90"/>
      <c r="D162" s="91"/>
      <c r="E162" s="92"/>
      <c r="F162" s="93"/>
    </row>
    <row r="163" spans="1:6" ht="16.5" customHeight="1">
      <c r="A163" s="81">
        <v>158</v>
      </c>
      <c r="B163" s="95"/>
      <c r="C163" s="82"/>
      <c r="D163" s="83"/>
      <c r="E163" s="84"/>
      <c r="F163" s="85"/>
    </row>
    <row r="164" spans="1:6" ht="16.5" customHeight="1">
      <c r="A164" s="81">
        <v>159</v>
      </c>
      <c r="B164" s="95"/>
      <c r="C164" s="82"/>
      <c r="D164" s="83"/>
      <c r="E164" s="84"/>
      <c r="F164" s="85"/>
    </row>
    <row r="165" spans="1:6" ht="16.5" customHeight="1">
      <c r="A165" s="81">
        <v>160</v>
      </c>
      <c r="B165" s="96"/>
      <c r="C165" s="86"/>
      <c r="D165" s="87"/>
      <c r="E165" s="88"/>
      <c r="F165" s="89"/>
    </row>
    <row r="166" spans="1:6" ht="16.5" customHeight="1">
      <c r="A166" s="81">
        <v>161</v>
      </c>
      <c r="B166" s="97"/>
      <c r="C166" s="90"/>
      <c r="D166" s="91"/>
      <c r="E166" s="92"/>
      <c r="F166" s="93"/>
    </row>
    <row r="167" spans="1:6" ht="16.5" customHeight="1">
      <c r="A167" s="81">
        <v>162</v>
      </c>
      <c r="B167" s="95"/>
      <c r="C167" s="82"/>
      <c r="D167" s="83"/>
      <c r="E167" s="84"/>
      <c r="F167" s="85"/>
    </row>
    <row r="168" spans="1:6" ht="16.5" customHeight="1">
      <c r="A168" s="81">
        <v>163</v>
      </c>
      <c r="B168" s="95"/>
      <c r="C168" s="82"/>
      <c r="D168" s="83"/>
      <c r="E168" s="84"/>
      <c r="F168" s="85"/>
    </row>
    <row r="169" spans="1:6" ht="16.5" customHeight="1">
      <c r="A169" s="81">
        <v>164</v>
      </c>
      <c r="B169" s="96"/>
      <c r="C169" s="86"/>
      <c r="D169" s="87"/>
      <c r="E169" s="88"/>
      <c r="F169" s="89"/>
    </row>
    <row r="170" spans="1:6" ht="16.5" customHeight="1">
      <c r="A170" s="81">
        <v>165</v>
      </c>
      <c r="B170" s="97"/>
      <c r="C170" s="90"/>
      <c r="D170" s="91"/>
      <c r="E170" s="92"/>
      <c r="F170" s="93"/>
    </row>
    <row r="171" spans="1:6" ht="16.5" customHeight="1">
      <c r="A171" s="81">
        <v>166</v>
      </c>
      <c r="B171" s="95"/>
      <c r="C171" s="82"/>
      <c r="D171" s="83"/>
      <c r="E171" s="84"/>
      <c r="F171" s="85"/>
    </row>
    <row r="172" spans="1:6" ht="16.5" customHeight="1">
      <c r="A172" s="81">
        <v>167</v>
      </c>
      <c r="B172" s="95"/>
      <c r="C172" s="82"/>
      <c r="D172" s="83"/>
      <c r="E172" s="84"/>
      <c r="F172" s="85"/>
    </row>
    <row r="173" spans="1:6" ht="16.5" customHeight="1">
      <c r="A173" s="81">
        <v>168</v>
      </c>
      <c r="B173" s="96"/>
      <c r="C173" s="86"/>
      <c r="D173" s="87"/>
      <c r="E173" s="88"/>
      <c r="F173" s="89"/>
    </row>
    <row r="174" spans="1:6" ht="16.5" customHeight="1">
      <c r="A174" s="81">
        <v>169</v>
      </c>
      <c r="B174" s="97"/>
      <c r="C174" s="90"/>
      <c r="D174" s="91"/>
      <c r="E174" s="92"/>
      <c r="F174" s="93"/>
    </row>
    <row r="175" spans="1:6" ht="16.5" customHeight="1">
      <c r="A175" s="81">
        <v>170</v>
      </c>
      <c r="B175" s="95"/>
      <c r="C175" s="82"/>
      <c r="D175" s="83"/>
      <c r="E175" s="84"/>
      <c r="F175" s="85"/>
    </row>
    <row r="176" spans="1:6" ht="16.5" customHeight="1">
      <c r="A176" s="81">
        <v>171</v>
      </c>
      <c r="B176" s="95"/>
      <c r="C176" s="82"/>
      <c r="D176" s="83"/>
      <c r="E176" s="84"/>
      <c r="F176" s="85"/>
    </row>
    <row r="177" spans="1:6" ht="16.5" customHeight="1">
      <c r="A177" s="81">
        <v>172</v>
      </c>
      <c r="B177" s="96"/>
      <c r="C177" s="86"/>
      <c r="D177" s="87"/>
      <c r="E177" s="88"/>
      <c r="F177" s="89"/>
    </row>
    <row r="178" spans="1:6" ht="16.5" customHeight="1">
      <c r="A178" s="81">
        <v>173</v>
      </c>
      <c r="B178" s="97"/>
      <c r="C178" s="90"/>
      <c r="D178" s="91"/>
      <c r="E178" s="92"/>
      <c r="F178" s="93"/>
    </row>
    <row r="179" spans="1:6" ht="16.5" customHeight="1">
      <c r="A179" s="81">
        <v>174</v>
      </c>
      <c r="B179" s="95"/>
      <c r="C179" s="82"/>
      <c r="D179" s="83"/>
      <c r="E179" s="84"/>
      <c r="F179" s="85"/>
    </row>
    <row r="180" spans="1:6" ht="16.5" customHeight="1">
      <c r="A180" s="81">
        <v>175</v>
      </c>
      <c r="B180" s="95"/>
      <c r="C180" s="82"/>
      <c r="D180" s="83"/>
      <c r="E180" s="84"/>
      <c r="F180" s="85"/>
    </row>
    <row r="181" spans="1:6" ht="16.5" customHeight="1">
      <c r="A181" s="81">
        <v>176</v>
      </c>
      <c r="B181" s="96"/>
      <c r="C181" s="86"/>
      <c r="D181" s="87"/>
      <c r="E181" s="88"/>
      <c r="F181" s="89"/>
    </row>
    <row r="182" spans="1:6" ht="16.5" customHeight="1">
      <c r="A182" s="81">
        <v>177</v>
      </c>
      <c r="B182" s="97"/>
      <c r="C182" s="90"/>
      <c r="D182" s="91"/>
      <c r="E182" s="92"/>
      <c r="F182" s="93"/>
    </row>
    <row r="183" spans="1:6" ht="16.5" customHeight="1">
      <c r="A183" s="81">
        <v>178</v>
      </c>
      <c r="B183" s="95"/>
      <c r="C183" s="82"/>
      <c r="D183" s="83"/>
      <c r="E183" s="84"/>
      <c r="F183" s="85"/>
    </row>
    <row r="184" spans="1:6" ht="16.5" customHeight="1">
      <c r="A184" s="81">
        <v>179</v>
      </c>
      <c r="B184" s="95"/>
      <c r="C184" s="82"/>
      <c r="D184" s="83"/>
      <c r="E184" s="84"/>
      <c r="F184" s="85"/>
    </row>
    <row r="185" spans="1:6" ht="16.5" customHeight="1">
      <c r="A185" s="81">
        <v>180</v>
      </c>
      <c r="B185" s="96"/>
      <c r="C185" s="86"/>
      <c r="D185" s="87"/>
      <c r="E185" s="88"/>
      <c r="F185" s="89"/>
    </row>
    <row r="186" spans="1:6" ht="16.5" customHeight="1">
      <c r="A186" s="81">
        <v>181</v>
      </c>
      <c r="B186" s="97"/>
      <c r="C186" s="90"/>
      <c r="D186" s="91"/>
      <c r="E186" s="92"/>
      <c r="F186" s="93"/>
    </row>
    <row r="187" spans="1:6" ht="16.5" customHeight="1">
      <c r="A187" s="81">
        <v>182</v>
      </c>
      <c r="B187" s="95"/>
      <c r="C187" s="82"/>
      <c r="D187" s="83"/>
      <c r="E187" s="84"/>
      <c r="F187" s="85"/>
    </row>
    <row r="188" spans="1:6" ht="16.5" customHeight="1">
      <c r="A188" s="81">
        <v>183</v>
      </c>
      <c r="B188" s="95"/>
      <c r="C188" s="82"/>
      <c r="D188" s="83"/>
      <c r="E188" s="84"/>
      <c r="F188" s="85"/>
    </row>
    <row r="189" spans="1:6" ht="16.5" customHeight="1">
      <c r="A189" s="81">
        <v>184</v>
      </c>
      <c r="B189" s="96"/>
      <c r="C189" s="86"/>
      <c r="D189" s="87"/>
      <c r="E189" s="88"/>
      <c r="F189" s="89"/>
    </row>
    <row r="190" spans="1:6" ht="16.5" customHeight="1">
      <c r="A190" s="81">
        <v>185</v>
      </c>
      <c r="B190" s="97"/>
      <c r="C190" s="90"/>
      <c r="D190" s="91"/>
      <c r="E190" s="92"/>
      <c r="F190" s="93"/>
    </row>
    <row r="191" spans="1:6" ht="16.5" customHeight="1">
      <c r="A191" s="81">
        <v>186</v>
      </c>
      <c r="B191" s="95"/>
      <c r="C191" s="82"/>
      <c r="D191" s="83"/>
      <c r="E191" s="84"/>
      <c r="F191" s="85"/>
    </row>
    <row r="192" spans="1:6" ht="16.5" customHeight="1">
      <c r="A192" s="81">
        <v>187</v>
      </c>
      <c r="B192" s="95"/>
      <c r="C192" s="82"/>
      <c r="D192" s="83"/>
      <c r="E192" s="84"/>
      <c r="F192" s="85"/>
    </row>
    <row r="193" spans="1:6" ht="16.5" customHeight="1">
      <c r="A193" s="81">
        <v>188</v>
      </c>
      <c r="B193" s="96"/>
      <c r="C193" s="86"/>
      <c r="D193" s="87"/>
      <c r="E193" s="88"/>
      <c r="F193" s="89"/>
    </row>
    <row r="194" spans="1:6" ht="16.5" customHeight="1">
      <c r="A194" s="81">
        <v>189</v>
      </c>
      <c r="B194" s="97"/>
      <c r="C194" s="90"/>
      <c r="D194" s="91"/>
      <c r="E194" s="92"/>
      <c r="F194" s="93"/>
    </row>
    <row r="195" spans="1:6" ht="16.5" customHeight="1">
      <c r="A195" s="81">
        <v>190</v>
      </c>
      <c r="B195" s="95"/>
      <c r="C195" s="82"/>
      <c r="D195" s="83"/>
      <c r="E195" s="84"/>
      <c r="F195" s="85"/>
    </row>
    <row r="196" spans="1:6" ht="16.5" customHeight="1">
      <c r="A196" s="81">
        <v>191</v>
      </c>
      <c r="B196" s="95"/>
      <c r="C196" s="82"/>
      <c r="D196" s="83"/>
      <c r="E196" s="84"/>
      <c r="F196" s="85"/>
    </row>
    <row r="197" spans="1:6" ht="16.5" customHeight="1">
      <c r="A197" s="81">
        <v>192</v>
      </c>
      <c r="B197" s="96"/>
      <c r="C197" s="86"/>
      <c r="D197" s="87"/>
      <c r="E197" s="88"/>
      <c r="F197" s="89"/>
    </row>
    <row r="198" spans="1:6" ht="16.5" customHeight="1">
      <c r="A198" s="81">
        <v>193</v>
      </c>
      <c r="B198" s="97"/>
      <c r="C198" s="90"/>
      <c r="D198" s="91"/>
      <c r="E198" s="92"/>
      <c r="F198" s="93"/>
    </row>
    <row r="199" spans="1:6" ht="16.5" customHeight="1">
      <c r="A199" s="81">
        <v>194</v>
      </c>
      <c r="B199" s="95"/>
      <c r="C199" s="82"/>
      <c r="D199" s="83"/>
      <c r="E199" s="84"/>
      <c r="F199" s="85"/>
    </row>
    <row r="200" spans="1:6" ht="16.5" customHeight="1">
      <c r="A200" s="81">
        <v>195</v>
      </c>
      <c r="B200" s="95"/>
      <c r="C200" s="82"/>
      <c r="D200" s="83"/>
      <c r="E200" s="84"/>
      <c r="F200" s="85"/>
    </row>
    <row r="201" spans="1:6" ht="16.5" customHeight="1">
      <c r="A201" s="81">
        <v>196</v>
      </c>
      <c r="B201" s="96"/>
      <c r="C201" s="86"/>
      <c r="D201" s="87"/>
      <c r="E201" s="88"/>
      <c r="F201" s="89"/>
    </row>
    <row r="202" spans="1:6" ht="16.5" customHeight="1">
      <c r="A202" s="81">
        <v>197</v>
      </c>
      <c r="B202" s="97"/>
      <c r="C202" s="90"/>
      <c r="D202" s="91"/>
      <c r="E202" s="92"/>
      <c r="F202" s="93"/>
    </row>
    <row r="203" spans="1:6" ht="16.5" customHeight="1">
      <c r="A203" s="81">
        <v>198</v>
      </c>
      <c r="B203" s="95"/>
      <c r="C203" s="82"/>
      <c r="D203" s="83"/>
      <c r="E203" s="84"/>
      <c r="F203" s="85"/>
    </row>
    <row r="204" spans="1:6" ht="16.5" customHeight="1">
      <c r="A204" s="81">
        <v>199</v>
      </c>
      <c r="B204" s="95"/>
      <c r="C204" s="82"/>
      <c r="D204" s="83"/>
      <c r="E204" s="84"/>
      <c r="F204" s="85"/>
    </row>
    <row r="205" spans="1:6" ht="16.5" customHeight="1">
      <c r="A205" s="81">
        <v>200</v>
      </c>
      <c r="B205" s="96"/>
      <c r="C205" s="86"/>
      <c r="D205" s="87"/>
      <c r="E205" s="88"/>
      <c r="F205" s="89"/>
    </row>
    <row r="206" spans="1:6" ht="16.5" customHeight="1">
      <c r="A206" s="81">
        <v>201</v>
      </c>
      <c r="B206" s="97"/>
      <c r="C206" s="90"/>
      <c r="D206" s="91"/>
      <c r="E206" s="92"/>
      <c r="F206" s="93"/>
    </row>
    <row r="207" spans="1:6" ht="16.5" customHeight="1">
      <c r="A207" s="81">
        <v>202</v>
      </c>
      <c r="B207" s="95"/>
      <c r="C207" s="82"/>
      <c r="D207" s="83"/>
      <c r="E207" s="84"/>
      <c r="F207" s="85"/>
    </row>
    <row r="208" spans="1:6" ht="16.5" customHeight="1">
      <c r="A208" s="81">
        <v>203</v>
      </c>
      <c r="B208" s="95"/>
      <c r="C208" s="82"/>
      <c r="D208" s="83"/>
      <c r="E208" s="84"/>
      <c r="F208" s="85"/>
    </row>
    <row r="209" spans="1:6" ht="16.5" customHeight="1">
      <c r="A209" s="81">
        <v>204</v>
      </c>
      <c r="B209" s="96"/>
      <c r="C209" s="86"/>
      <c r="D209" s="87"/>
      <c r="E209" s="88"/>
      <c r="F209" s="89"/>
    </row>
    <row r="210" spans="1:6" ht="16.5" customHeight="1">
      <c r="A210" s="81">
        <v>205</v>
      </c>
      <c r="B210" s="97"/>
      <c r="C210" s="90"/>
      <c r="D210" s="91"/>
      <c r="E210" s="92"/>
      <c r="F210" s="93"/>
    </row>
    <row r="211" spans="1:6" ht="16.5" customHeight="1">
      <c r="A211" s="81">
        <v>206</v>
      </c>
      <c r="B211" s="95"/>
      <c r="C211" s="82"/>
      <c r="D211" s="83"/>
      <c r="E211" s="84"/>
      <c r="F211" s="85"/>
    </row>
    <row r="212" spans="1:6" ht="16.5" customHeight="1">
      <c r="A212" s="81">
        <v>207</v>
      </c>
      <c r="B212" s="95"/>
      <c r="C212" s="82"/>
      <c r="D212" s="83"/>
      <c r="E212" s="84"/>
      <c r="F212" s="85"/>
    </row>
    <row r="213" spans="1:6" ht="16.5" customHeight="1">
      <c r="A213" s="81">
        <v>208</v>
      </c>
      <c r="B213" s="96"/>
      <c r="C213" s="86"/>
      <c r="D213" s="87"/>
      <c r="E213" s="88"/>
      <c r="F213" s="89"/>
    </row>
    <row r="214" spans="1:6" ht="16.5" customHeight="1">
      <c r="A214" s="81">
        <v>209</v>
      </c>
      <c r="B214" s="97"/>
      <c r="C214" s="90"/>
      <c r="D214" s="91"/>
      <c r="E214" s="92"/>
      <c r="F214" s="93"/>
    </row>
    <row r="215" spans="1:6" ht="16.5" customHeight="1">
      <c r="A215" s="81">
        <v>210</v>
      </c>
      <c r="B215" s="95"/>
      <c r="C215" s="82"/>
      <c r="D215" s="83"/>
      <c r="E215" s="84"/>
      <c r="F215" s="85"/>
    </row>
    <row r="216" spans="1:6" ht="16.5" customHeight="1">
      <c r="A216" s="81">
        <v>211</v>
      </c>
      <c r="B216" s="95"/>
      <c r="C216" s="82"/>
      <c r="D216" s="83"/>
      <c r="E216" s="84"/>
      <c r="F216" s="85"/>
    </row>
    <row r="217" spans="1:6" ht="16.5" customHeight="1">
      <c r="A217" s="81">
        <v>212</v>
      </c>
      <c r="B217" s="96"/>
      <c r="C217" s="86"/>
      <c r="D217" s="87"/>
      <c r="E217" s="88"/>
      <c r="F217" s="89"/>
    </row>
    <row r="218" spans="1:6" ht="16.5" customHeight="1">
      <c r="A218" s="81">
        <v>213</v>
      </c>
      <c r="B218" s="97"/>
      <c r="C218" s="90"/>
      <c r="D218" s="91"/>
      <c r="E218" s="92"/>
      <c r="F218" s="93"/>
    </row>
    <row r="219" spans="1:6" ht="16.5" customHeight="1">
      <c r="A219" s="81">
        <v>214</v>
      </c>
      <c r="B219" s="95"/>
      <c r="C219" s="82"/>
      <c r="D219" s="83"/>
      <c r="E219" s="84"/>
      <c r="F219" s="85"/>
    </row>
    <row r="220" spans="1:6" ht="16.5" customHeight="1">
      <c r="A220" s="81">
        <v>215</v>
      </c>
      <c r="B220" s="95"/>
      <c r="C220" s="82"/>
      <c r="D220" s="83"/>
      <c r="E220" s="84"/>
      <c r="F220" s="85"/>
    </row>
    <row r="221" spans="1:6" ht="16.5" customHeight="1">
      <c r="A221" s="81">
        <v>216</v>
      </c>
      <c r="B221" s="96"/>
      <c r="C221" s="86"/>
      <c r="D221" s="87"/>
      <c r="E221" s="88"/>
      <c r="F221" s="89"/>
    </row>
    <row r="222" spans="1:6" ht="16.5" customHeight="1">
      <c r="A222" s="81">
        <v>217</v>
      </c>
      <c r="B222" s="97"/>
      <c r="C222" s="90"/>
      <c r="D222" s="91"/>
      <c r="E222" s="92"/>
      <c r="F222" s="93"/>
    </row>
    <row r="223" spans="1:6" ht="16.5" customHeight="1">
      <c r="A223" s="81">
        <v>218</v>
      </c>
      <c r="B223" s="95"/>
      <c r="C223" s="82"/>
      <c r="D223" s="83"/>
      <c r="E223" s="84"/>
      <c r="F223" s="85"/>
    </row>
    <row r="224" spans="1:6" ht="16.5" customHeight="1">
      <c r="A224" s="81">
        <v>219</v>
      </c>
      <c r="B224" s="95"/>
      <c r="C224" s="82"/>
      <c r="D224" s="83"/>
      <c r="E224" s="84"/>
      <c r="F224" s="85"/>
    </row>
    <row r="225" spans="1:6" ht="16.5" customHeight="1">
      <c r="A225" s="81">
        <v>220</v>
      </c>
      <c r="B225" s="96"/>
      <c r="C225" s="86"/>
      <c r="D225" s="87"/>
      <c r="E225" s="88"/>
      <c r="F225" s="89"/>
    </row>
    <row r="226" spans="1:6" ht="16.5" customHeight="1">
      <c r="A226" s="81">
        <v>221</v>
      </c>
      <c r="B226" s="97"/>
      <c r="C226" s="90"/>
      <c r="D226" s="91"/>
      <c r="E226" s="92"/>
      <c r="F226" s="93"/>
    </row>
    <row r="227" spans="1:6" ht="16.5" customHeight="1">
      <c r="A227" s="81">
        <v>222</v>
      </c>
      <c r="B227" s="95"/>
      <c r="C227" s="82"/>
      <c r="D227" s="83"/>
      <c r="E227" s="84"/>
      <c r="F227" s="85"/>
    </row>
    <row r="228" spans="1:6" ht="16.5" customHeight="1">
      <c r="A228" s="81">
        <v>223</v>
      </c>
      <c r="B228" s="95"/>
      <c r="C228" s="82"/>
      <c r="D228" s="83"/>
      <c r="E228" s="84"/>
      <c r="F228" s="85"/>
    </row>
    <row r="229" spans="1:6" ht="16.5" customHeight="1">
      <c r="A229" s="81">
        <v>224</v>
      </c>
      <c r="B229" s="96"/>
      <c r="C229" s="86"/>
      <c r="D229" s="87"/>
      <c r="E229" s="88"/>
      <c r="F229" s="89"/>
    </row>
    <row r="230" spans="1:6" ht="16.5" customHeight="1">
      <c r="A230" s="81">
        <v>225</v>
      </c>
      <c r="B230" s="97"/>
      <c r="C230" s="90"/>
      <c r="D230" s="91"/>
      <c r="E230" s="92"/>
      <c r="F230" s="93"/>
    </row>
    <row r="231" spans="1:6" ht="16.5" customHeight="1">
      <c r="A231" s="81">
        <v>226</v>
      </c>
      <c r="B231" s="95"/>
      <c r="C231" s="82"/>
      <c r="D231" s="83"/>
      <c r="E231" s="84"/>
      <c r="F231" s="85"/>
    </row>
    <row r="232" spans="1:6" ht="16.5" customHeight="1">
      <c r="A232" s="81">
        <v>227</v>
      </c>
      <c r="B232" s="95"/>
      <c r="C232" s="82"/>
      <c r="D232" s="83"/>
      <c r="E232" s="84"/>
      <c r="F232" s="85"/>
    </row>
    <row r="233" spans="1:6" ht="16.5" customHeight="1">
      <c r="A233" s="81">
        <v>228</v>
      </c>
      <c r="B233" s="96"/>
      <c r="C233" s="86"/>
      <c r="D233" s="87"/>
      <c r="E233" s="88"/>
      <c r="F233" s="89"/>
    </row>
    <row r="234" spans="1:6" ht="16.5" customHeight="1">
      <c r="A234" s="81">
        <v>229</v>
      </c>
      <c r="B234" s="97"/>
      <c r="C234" s="90"/>
      <c r="D234" s="91"/>
      <c r="E234" s="92"/>
      <c r="F234" s="93"/>
    </row>
    <row r="235" spans="1:6" ht="16.5" customHeight="1">
      <c r="A235" s="81">
        <v>230</v>
      </c>
      <c r="B235" s="95"/>
      <c r="C235" s="82"/>
      <c r="D235" s="83"/>
      <c r="E235" s="84"/>
      <c r="F235" s="85"/>
    </row>
    <row r="236" spans="1:6" ht="16.5" customHeight="1">
      <c r="A236" s="81">
        <v>231</v>
      </c>
      <c r="B236" s="95"/>
      <c r="C236" s="82"/>
      <c r="D236" s="83"/>
      <c r="E236" s="84"/>
      <c r="F236" s="85"/>
    </row>
    <row r="237" spans="1:6" ht="16.5" customHeight="1">
      <c r="A237" s="81">
        <v>232</v>
      </c>
      <c r="B237" s="96"/>
      <c r="C237" s="86"/>
      <c r="D237" s="87"/>
      <c r="E237" s="88"/>
      <c r="F237" s="89"/>
    </row>
    <row r="238" spans="1:6" ht="16.5" customHeight="1">
      <c r="A238" s="81">
        <v>233</v>
      </c>
      <c r="B238" s="97"/>
      <c r="C238" s="90"/>
      <c r="D238" s="91"/>
      <c r="E238" s="92"/>
      <c r="F238" s="93"/>
    </row>
    <row r="239" spans="1:6" ht="16.5" customHeight="1">
      <c r="A239" s="81">
        <v>234</v>
      </c>
      <c r="B239" s="95"/>
      <c r="C239" s="82"/>
      <c r="D239" s="83"/>
      <c r="E239" s="84"/>
      <c r="F239" s="85"/>
    </row>
    <row r="240" spans="1:6" ht="16.5" customHeight="1">
      <c r="A240" s="81">
        <v>235</v>
      </c>
      <c r="B240" s="95"/>
      <c r="C240" s="82"/>
      <c r="D240" s="83"/>
      <c r="E240" s="84"/>
      <c r="F240" s="85"/>
    </row>
    <row r="241" spans="1:6" ht="16.5" customHeight="1">
      <c r="A241" s="81">
        <v>236</v>
      </c>
      <c r="B241" s="96"/>
      <c r="C241" s="86"/>
      <c r="D241" s="87"/>
      <c r="E241" s="88"/>
      <c r="F241" s="89"/>
    </row>
    <row r="242" spans="1:6" ht="16.5" customHeight="1">
      <c r="A242" s="81">
        <v>237</v>
      </c>
      <c r="B242" s="97"/>
      <c r="C242" s="90"/>
      <c r="D242" s="91"/>
      <c r="E242" s="92"/>
      <c r="F242" s="93"/>
    </row>
    <row r="243" spans="1:6" ht="16.5" customHeight="1">
      <c r="A243" s="81">
        <v>238</v>
      </c>
      <c r="B243" s="95"/>
      <c r="C243" s="82"/>
      <c r="D243" s="83"/>
      <c r="E243" s="84"/>
      <c r="F243" s="85"/>
    </row>
    <row r="244" spans="1:6" ht="16.5" customHeight="1">
      <c r="A244" s="81">
        <v>239</v>
      </c>
      <c r="B244" s="95"/>
      <c r="C244" s="82"/>
      <c r="D244" s="83"/>
      <c r="E244" s="84"/>
      <c r="F244" s="85"/>
    </row>
    <row r="245" spans="1:6" ht="16.5" customHeight="1">
      <c r="A245" s="81">
        <v>240</v>
      </c>
      <c r="B245" s="96"/>
      <c r="C245" s="86"/>
      <c r="D245" s="87"/>
      <c r="E245" s="88"/>
      <c r="F245" s="89"/>
    </row>
    <row r="246" spans="1:6" ht="16.5" customHeight="1">
      <c r="A246" s="81">
        <v>241</v>
      </c>
      <c r="B246" s="97"/>
      <c r="C246" s="90"/>
      <c r="D246" s="91"/>
      <c r="E246" s="92"/>
      <c r="F246" s="93"/>
    </row>
    <row r="247" spans="1:6" ht="16.5" customHeight="1">
      <c r="A247" s="81">
        <v>242</v>
      </c>
      <c r="B247" s="95"/>
      <c r="C247" s="82"/>
      <c r="D247" s="83"/>
      <c r="E247" s="84"/>
      <c r="F247" s="85"/>
    </row>
    <row r="248" spans="1:6" ht="16.5" customHeight="1">
      <c r="A248" s="81">
        <v>243</v>
      </c>
      <c r="B248" s="95"/>
      <c r="C248" s="82"/>
      <c r="D248" s="83"/>
      <c r="E248" s="84"/>
      <c r="F248" s="85"/>
    </row>
    <row r="249" spans="1:6" ht="16.5" customHeight="1">
      <c r="A249" s="81">
        <v>244</v>
      </c>
      <c r="B249" s="96"/>
      <c r="C249" s="86"/>
      <c r="D249" s="87"/>
      <c r="E249" s="88"/>
      <c r="F249" s="89"/>
    </row>
    <row r="250" spans="1:6" ht="16.5" customHeight="1">
      <c r="A250" s="81">
        <v>245</v>
      </c>
      <c r="B250" s="97"/>
      <c r="C250" s="90"/>
      <c r="D250" s="91"/>
      <c r="E250" s="92"/>
      <c r="F250" s="93"/>
    </row>
    <row r="251" spans="1:6" ht="16.5" customHeight="1">
      <c r="A251" s="81">
        <v>246</v>
      </c>
      <c r="B251" s="95"/>
      <c r="C251" s="82"/>
      <c r="D251" s="83"/>
      <c r="E251" s="84"/>
      <c r="F251" s="85"/>
    </row>
    <row r="252" spans="1:6" ht="16.5" customHeight="1">
      <c r="A252" s="81">
        <v>247</v>
      </c>
      <c r="B252" s="95"/>
      <c r="C252" s="82"/>
      <c r="D252" s="83"/>
      <c r="E252" s="84"/>
      <c r="F252" s="85"/>
    </row>
    <row r="253" spans="1:6" ht="16.5" customHeight="1">
      <c r="A253" s="81">
        <v>248</v>
      </c>
      <c r="B253" s="96"/>
      <c r="C253" s="86"/>
      <c r="D253" s="87"/>
      <c r="E253" s="88"/>
      <c r="F253" s="89"/>
    </row>
    <row r="254" spans="1:6" ht="16.5" customHeight="1">
      <c r="A254" s="81">
        <v>249</v>
      </c>
      <c r="B254" s="97"/>
      <c r="C254" s="90"/>
      <c r="D254" s="91"/>
      <c r="E254" s="92"/>
      <c r="F254" s="93"/>
    </row>
    <row r="255" spans="1:6" ht="16.5" customHeight="1">
      <c r="A255" s="81">
        <v>250</v>
      </c>
      <c r="B255" s="95"/>
      <c r="C255" s="82"/>
      <c r="D255" s="83"/>
      <c r="E255" s="84"/>
      <c r="F255" s="85"/>
    </row>
    <row r="256" spans="1:6" ht="16.5" customHeight="1">
      <c r="A256" s="81">
        <v>251</v>
      </c>
      <c r="B256" s="95"/>
      <c r="C256" s="82"/>
      <c r="D256" s="83"/>
      <c r="E256" s="84"/>
      <c r="F256" s="85"/>
    </row>
    <row r="257" spans="1:6" ht="16.5" customHeight="1">
      <c r="A257" s="81">
        <v>252</v>
      </c>
      <c r="B257" s="96"/>
      <c r="C257" s="86"/>
      <c r="D257" s="87"/>
      <c r="E257" s="88"/>
      <c r="F257" s="89"/>
    </row>
    <row r="258" spans="1:6" ht="16.5" customHeight="1">
      <c r="A258" s="81">
        <v>253</v>
      </c>
      <c r="B258" s="97"/>
      <c r="C258" s="90"/>
      <c r="D258" s="91"/>
      <c r="E258" s="92"/>
      <c r="F258" s="93"/>
    </row>
    <row r="259" spans="1:6" ht="16.5" customHeight="1">
      <c r="A259" s="81">
        <v>254</v>
      </c>
      <c r="B259" s="95"/>
      <c r="C259" s="82"/>
      <c r="D259" s="83"/>
      <c r="E259" s="84"/>
      <c r="F259" s="85"/>
    </row>
    <row r="260" spans="1:6" ht="16.5" customHeight="1">
      <c r="A260" s="81">
        <v>255</v>
      </c>
      <c r="B260" s="95"/>
      <c r="C260" s="82"/>
      <c r="D260" s="83"/>
      <c r="E260" s="84"/>
      <c r="F260" s="85"/>
    </row>
    <row r="261" spans="1:6" ht="16.5" customHeight="1">
      <c r="A261" s="81">
        <v>256</v>
      </c>
      <c r="B261" s="96"/>
      <c r="C261" s="86"/>
      <c r="D261" s="87"/>
      <c r="E261" s="88"/>
      <c r="F261" s="89"/>
    </row>
    <row r="262" spans="1:6" ht="16.5" customHeight="1">
      <c r="A262" s="81">
        <v>257</v>
      </c>
      <c r="B262" s="97"/>
      <c r="C262" s="90"/>
      <c r="D262" s="91"/>
      <c r="E262" s="92"/>
      <c r="F262" s="93"/>
    </row>
    <row r="263" spans="1:6" ht="16.5" customHeight="1">
      <c r="A263" s="81">
        <v>258</v>
      </c>
      <c r="B263" s="95"/>
      <c r="C263" s="82"/>
      <c r="D263" s="83"/>
      <c r="E263" s="84"/>
      <c r="F263" s="85"/>
    </row>
    <row r="264" spans="1:6" ht="16.5" customHeight="1">
      <c r="A264" s="81">
        <v>259</v>
      </c>
      <c r="B264" s="95"/>
      <c r="C264" s="82"/>
      <c r="D264" s="83"/>
      <c r="E264" s="84"/>
      <c r="F264" s="85"/>
    </row>
    <row r="265" spans="1:6" ht="16.5" customHeight="1">
      <c r="A265" s="81">
        <v>260</v>
      </c>
      <c r="B265" s="96"/>
      <c r="C265" s="86"/>
      <c r="D265" s="87"/>
      <c r="E265" s="88"/>
      <c r="F265" s="89"/>
    </row>
    <row r="266" spans="1:6" ht="16.5" customHeight="1">
      <c r="A266" s="81">
        <v>261</v>
      </c>
      <c r="B266" s="97"/>
      <c r="C266" s="90"/>
      <c r="D266" s="91"/>
      <c r="E266" s="92"/>
      <c r="F266" s="93"/>
    </row>
    <row r="267" spans="1:6" ht="16.5" customHeight="1">
      <c r="A267" s="81">
        <v>262</v>
      </c>
      <c r="B267" s="95"/>
      <c r="C267" s="82"/>
      <c r="D267" s="83"/>
      <c r="E267" s="84"/>
      <c r="F267" s="85"/>
    </row>
    <row r="268" spans="1:6" ht="16.5" customHeight="1">
      <c r="A268" s="81">
        <v>263</v>
      </c>
      <c r="B268" s="95"/>
      <c r="C268" s="82"/>
      <c r="D268" s="83"/>
      <c r="E268" s="84"/>
      <c r="F268" s="85"/>
    </row>
    <row r="269" spans="1:6" ht="16.5" customHeight="1">
      <c r="A269" s="81">
        <v>264</v>
      </c>
      <c r="B269" s="96"/>
      <c r="C269" s="86"/>
      <c r="D269" s="87"/>
      <c r="E269" s="88"/>
      <c r="F269" s="89"/>
    </row>
    <row r="270" spans="1:6" ht="16.5" customHeight="1">
      <c r="A270" s="81">
        <v>265</v>
      </c>
      <c r="B270" s="97"/>
      <c r="C270" s="90"/>
      <c r="D270" s="91"/>
      <c r="E270" s="92"/>
      <c r="F270" s="93"/>
    </row>
    <row r="271" spans="1:6" ht="16.5" customHeight="1">
      <c r="A271" s="81">
        <v>266</v>
      </c>
      <c r="B271" s="95"/>
      <c r="C271" s="82"/>
      <c r="D271" s="83"/>
      <c r="E271" s="84"/>
      <c r="F271" s="85"/>
    </row>
    <row r="272" spans="1:6" ht="16.5" customHeight="1">
      <c r="A272" s="81">
        <v>267</v>
      </c>
      <c r="B272" s="95"/>
      <c r="C272" s="82"/>
      <c r="D272" s="83"/>
      <c r="E272" s="84"/>
      <c r="F272" s="85"/>
    </row>
    <row r="273" spans="1:6" ht="16.5" customHeight="1">
      <c r="A273" s="81">
        <v>268</v>
      </c>
      <c r="B273" s="96"/>
      <c r="C273" s="86"/>
      <c r="D273" s="87"/>
      <c r="E273" s="88"/>
      <c r="F273" s="89"/>
    </row>
    <row r="274" spans="1:6" ht="16.5" customHeight="1">
      <c r="A274" s="81">
        <v>269</v>
      </c>
      <c r="B274" s="97"/>
      <c r="C274" s="90"/>
      <c r="D274" s="91"/>
      <c r="E274" s="92"/>
      <c r="F274" s="93"/>
    </row>
    <row r="275" spans="1:6" ht="16.5" customHeight="1">
      <c r="A275" s="81">
        <v>270</v>
      </c>
      <c r="B275" s="95"/>
      <c r="C275" s="82"/>
      <c r="D275" s="83"/>
      <c r="E275" s="84"/>
      <c r="F275" s="85"/>
    </row>
    <row r="276" spans="1:6" ht="16.5" customHeight="1">
      <c r="A276" s="81">
        <v>271</v>
      </c>
      <c r="B276" s="95"/>
      <c r="C276" s="82"/>
      <c r="D276" s="83"/>
      <c r="E276" s="84"/>
      <c r="F276" s="85"/>
    </row>
    <row r="277" spans="1:6" ht="16.5" customHeight="1">
      <c r="A277" s="81">
        <v>272</v>
      </c>
      <c r="B277" s="96"/>
      <c r="C277" s="86"/>
      <c r="D277" s="87"/>
      <c r="E277" s="88"/>
      <c r="F277" s="89"/>
    </row>
    <row r="278" spans="1:6" ht="16.5" customHeight="1">
      <c r="A278" s="81">
        <v>273</v>
      </c>
      <c r="B278" s="97"/>
      <c r="C278" s="90"/>
      <c r="D278" s="91"/>
      <c r="E278" s="92"/>
      <c r="F278" s="93"/>
    </row>
    <row r="279" spans="1:6" ht="16.5" customHeight="1">
      <c r="A279" s="81">
        <v>274</v>
      </c>
      <c r="B279" s="95"/>
      <c r="C279" s="82"/>
      <c r="D279" s="83"/>
      <c r="E279" s="84"/>
      <c r="F279" s="85"/>
    </row>
    <row r="280" spans="1:6" ht="16.5" customHeight="1">
      <c r="A280" s="81">
        <v>275</v>
      </c>
      <c r="B280" s="95"/>
      <c r="C280" s="82"/>
      <c r="D280" s="83"/>
      <c r="E280" s="84"/>
      <c r="F280" s="85"/>
    </row>
    <row r="281" spans="1:6" ht="16.5" customHeight="1">
      <c r="A281" s="81">
        <v>276</v>
      </c>
      <c r="B281" s="96"/>
      <c r="C281" s="86"/>
      <c r="D281" s="87"/>
      <c r="E281" s="88"/>
      <c r="F281" s="89"/>
    </row>
    <row r="282" spans="1:6" ht="16.5" customHeight="1">
      <c r="A282" s="81">
        <v>277</v>
      </c>
      <c r="B282" s="97"/>
      <c r="C282" s="90"/>
      <c r="D282" s="91"/>
      <c r="E282" s="92"/>
      <c r="F282" s="93"/>
    </row>
    <row r="283" spans="1:6" ht="16.5" customHeight="1">
      <c r="A283" s="81">
        <v>278</v>
      </c>
      <c r="B283" s="95"/>
      <c r="C283" s="82"/>
      <c r="D283" s="83"/>
      <c r="E283" s="84"/>
      <c r="F283" s="85"/>
    </row>
    <row r="284" spans="1:6" ht="16.5" customHeight="1">
      <c r="A284" s="81">
        <v>279</v>
      </c>
      <c r="B284" s="95"/>
      <c r="C284" s="82"/>
      <c r="D284" s="83"/>
      <c r="E284" s="84"/>
      <c r="F284" s="85"/>
    </row>
    <row r="285" spans="1:6" ht="16.5" customHeight="1">
      <c r="A285" s="81">
        <v>280</v>
      </c>
      <c r="B285" s="96"/>
      <c r="C285" s="86"/>
      <c r="D285" s="87"/>
      <c r="E285" s="88"/>
      <c r="F285" s="89"/>
    </row>
    <row r="286" spans="1:6" ht="16.5" customHeight="1">
      <c r="A286" s="81">
        <v>281</v>
      </c>
      <c r="B286" s="97"/>
      <c r="C286" s="90"/>
      <c r="D286" s="91"/>
      <c r="E286" s="92"/>
      <c r="F286" s="93"/>
    </row>
    <row r="287" spans="1:6" ht="16.5" customHeight="1">
      <c r="A287" s="81">
        <v>282</v>
      </c>
      <c r="B287" s="95"/>
      <c r="C287" s="82"/>
      <c r="D287" s="83"/>
      <c r="E287" s="84"/>
      <c r="F287" s="85"/>
    </row>
    <row r="288" spans="1:6" ht="16.5" customHeight="1">
      <c r="A288" s="81">
        <v>283</v>
      </c>
      <c r="B288" s="95"/>
      <c r="C288" s="82"/>
      <c r="D288" s="83"/>
      <c r="E288" s="84"/>
      <c r="F288" s="85"/>
    </row>
    <row r="289" spans="1:6" ht="16.5" customHeight="1">
      <c r="A289" s="81">
        <v>284</v>
      </c>
      <c r="B289" s="96"/>
      <c r="C289" s="86"/>
      <c r="D289" s="87"/>
      <c r="E289" s="88"/>
      <c r="F289" s="89"/>
    </row>
    <row r="290" spans="1:6" ht="16.5" customHeight="1">
      <c r="A290" s="81">
        <v>285</v>
      </c>
      <c r="B290" s="97"/>
      <c r="C290" s="90"/>
      <c r="D290" s="91"/>
      <c r="E290" s="92"/>
      <c r="F290" s="93"/>
    </row>
    <row r="291" spans="1:6" ht="16.5" customHeight="1">
      <c r="A291" s="81">
        <v>286</v>
      </c>
      <c r="B291" s="95"/>
      <c r="C291" s="82"/>
      <c r="D291" s="83"/>
      <c r="E291" s="84"/>
      <c r="F291" s="85"/>
    </row>
    <row r="292" spans="1:6" ht="16.5" customHeight="1">
      <c r="A292" s="81">
        <v>287</v>
      </c>
      <c r="B292" s="95"/>
      <c r="C292" s="82"/>
      <c r="D292" s="83"/>
      <c r="E292" s="84"/>
      <c r="F292" s="85"/>
    </row>
    <row r="293" spans="1:6" ht="16.5" customHeight="1">
      <c r="A293" s="81">
        <v>288</v>
      </c>
      <c r="B293" s="96"/>
      <c r="C293" s="86"/>
      <c r="D293" s="87"/>
      <c r="E293" s="88"/>
      <c r="F293" s="89"/>
    </row>
    <row r="294" spans="1:6" ht="16.5" customHeight="1">
      <c r="A294" s="81">
        <v>289</v>
      </c>
      <c r="B294" s="97"/>
      <c r="C294" s="90"/>
      <c r="D294" s="91"/>
      <c r="E294" s="92"/>
      <c r="F294" s="93"/>
    </row>
    <row r="295" spans="1:6" ht="16.5" customHeight="1">
      <c r="A295" s="81">
        <v>290</v>
      </c>
      <c r="B295" s="95"/>
      <c r="C295" s="82"/>
      <c r="D295" s="83"/>
      <c r="E295" s="84"/>
      <c r="F295" s="85"/>
    </row>
    <row r="296" spans="1:6" ht="16.5" customHeight="1">
      <c r="A296" s="81">
        <v>291</v>
      </c>
      <c r="B296" s="95"/>
      <c r="C296" s="82"/>
      <c r="D296" s="83"/>
      <c r="E296" s="84"/>
      <c r="F296" s="85"/>
    </row>
    <row r="297" spans="1:6" ht="16.5" customHeight="1">
      <c r="A297" s="81">
        <v>292</v>
      </c>
      <c r="B297" s="96"/>
      <c r="C297" s="86"/>
      <c r="D297" s="87"/>
      <c r="E297" s="88"/>
      <c r="F297" s="89"/>
    </row>
    <row r="298" spans="1:6" ht="16.5" customHeight="1">
      <c r="A298" s="81">
        <v>293</v>
      </c>
      <c r="B298" s="97"/>
      <c r="C298" s="90"/>
      <c r="D298" s="91"/>
      <c r="E298" s="92"/>
      <c r="F298" s="93"/>
    </row>
    <row r="299" spans="1:6" ht="16.5" customHeight="1">
      <c r="A299" s="81">
        <v>294</v>
      </c>
      <c r="B299" s="95"/>
      <c r="C299" s="82"/>
      <c r="D299" s="83"/>
      <c r="E299" s="84"/>
      <c r="F299" s="85"/>
    </row>
    <row r="300" spans="1:6" ht="16.5" customHeight="1">
      <c r="A300" s="81">
        <v>295</v>
      </c>
      <c r="B300" s="95"/>
      <c r="C300" s="82"/>
      <c r="D300" s="83"/>
      <c r="E300" s="84"/>
      <c r="F300" s="85"/>
    </row>
    <row r="301" spans="1:6" ht="16.5" customHeight="1">
      <c r="A301" s="81">
        <v>296</v>
      </c>
      <c r="B301" s="96"/>
      <c r="C301" s="86"/>
      <c r="D301" s="87"/>
      <c r="E301" s="88"/>
      <c r="F301" s="89"/>
    </row>
    <row r="302" spans="1:6" ht="16.5" customHeight="1">
      <c r="A302" s="81">
        <v>297</v>
      </c>
      <c r="B302" s="97"/>
      <c r="C302" s="90"/>
      <c r="D302" s="91"/>
      <c r="E302" s="92"/>
      <c r="F302" s="93"/>
    </row>
    <row r="303" spans="1:6" ht="16.5" customHeight="1">
      <c r="A303" s="81">
        <v>298</v>
      </c>
      <c r="B303" s="95"/>
      <c r="C303" s="82"/>
      <c r="D303" s="83"/>
      <c r="E303" s="84"/>
      <c r="F303" s="85"/>
    </row>
    <row r="304" spans="1:6" ht="16.5" customHeight="1">
      <c r="A304" s="81">
        <v>299</v>
      </c>
      <c r="B304" s="95"/>
      <c r="C304" s="82"/>
      <c r="D304" s="83"/>
      <c r="E304" s="84"/>
      <c r="F304" s="85"/>
    </row>
    <row r="305" spans="1:6" ht="16.5" customHeight="1">
      <c r="A305" s="81">
        <v>300</v>
      </c>
      <c r="B305" s="96"/>
      <c r="C305" s="86"/>
      <c r="D305" s="87"/>
      <c r="E305" s="88"/>
      <c r="F305" s="89"/>
    </row>
    <row r="306" ht="18" customHeight="1"/>
    <row r="307" ht="18" customHeight="1"/>
    <row r="321" ht="12.75">
      <c r="B321" s="98">
        <v>1</v>
      </c>
    </row>
    <row r="322" ht="12.75">
      <c r="B322" s="98">
        <v>2</v>
      </c>
    </row>
    <row r="323" ht="12.75">
      <c r="B323" s="98">
        <v>3</v>
      </c>
    </row>
    <row r="324" ht="12.75">
      <c r="B324" s="98">
        <v>4</v>
      </c>
    </row>
    <row r="325" ht="12.75">
      <c r="B325" s="98">
        <v>5</v>
      </c>
    </row>
    <row r="326" ht="12.75">
      <c r="B326" s="98">
        <v>6</v>
      </c>
    </row>
    <row r="327" ht="12.75">
      <c r="B327" s="98">
        <v>7</v>
      </c>
    </row>
    <row r="328" ht="12.75">
      <c r="B328" s="98">
        <v>8</v>
      </c>
    </row>
    <row r="329" ht="12.75">
      <c r="B329" s="98">
        <v>9</v>
      </c>
    </row>
    <row r="330" ht="12.75">
      <c r="B330" s="98">
        <v>10</v>
      </c>
    </row>
    <row r="331" ht="12.75">
      <c r="B331" s="98">
        <v>11</v>
      </c>
    </row>
    <row r="332" ht="12.75">
      <c r="B332" s="98">
        <v>12</v>
      </c>
    </row>
    <row r="333" ht="12.75">
      <c r="B333" s="98">
        <v>13</v>
      </c>
    </row>
    <row r="334" ht="12.75">
      <c r="B334" s="98">
        <v>14</v>
      </c>
    </row>
    <row r="335" ht="12.75">
      <c r="B335" s="98">
        <v>15</v>
      </c>
    </row>
    <row r="336" ht="12.75">
      <c r="B336" s="98">
        <v>16</v>
      </c>
    </row>
    <row r="337" ht="12.75">
      <c r="B337" s="98">
        <v>17</v>
      </c>
    </row>
    <row r="338" ht="12.75">
      <c r="B338" s="98">
        <v>18</v>
      </c>
    </row>
    <row r="339" ht="12.75">
      <c r="B339" s="98">
        <v>19</v>
      </c>
    </row>
    <row r="340" ht="12.75">
      <c r="B340" s="98">
        <v>20</v>
      </c>
    </row>
    <row r="341" ht="12.75">
      <c r="B341" s="98">
        <v>21</v>
      </c>
    </row>
    <row r="342" ht="12.75">
      <c r="B342" s="98">
        <v>22</v>
      </c>
    </row>
    <row r="343" ht="12.75">
      <c r="B343" s="98">
        <v>23</v>
      </c>
    </row>
    <row r="344" ht="12.75">
      <c r="B344" s="98">
        <v>24</v>
      </c>
    </row>
    <row r="345" ht="12.75">
      <c r="B345" s="98">
        <v>25</v>
      </c>
    </row>
    <row r="346" ht="12.75">
      <c r="B346" s="98">
        <v>26</v>
      </c>
    </row>
    <row r="347" ht="12.75">
      <c r="B347" s="98">
        <v>27</v>
      </c>
    </row>
    <row r="348" ht="12.75">
      <c r="B348" s="98">
        <v>28</v>
      </c>
    </row>
    <row r="349" ht="12.75">
      <c r="B349" s="98">
        <v>29</v>
      </c>
    </row>
    <row r="350" ht="12.75">
      <c r="B350" s="98">
        <v>30</v>
      </c>
    </row>
    <row r="351" ht="12.75">
      <c r="B351" s="98">
        <v>31</v>
      </c>
    </row>
    <row r="352" ht="12.75">
      <c r="B352" s="98">
        <v>32</v>
      </c>
    </row>
    <row r="353" ht="12.75">
      <c r="B353" s="98">
        <v>33</v>
      </c>
    </row>
    <row r="354" ht="12.75">
      <c r="B354" s="98">
        <v>34</v>
      </c>
    </row>
    <row r="355" ht="12.75">
      <c r="B355" s="98">
        <v>35</v>
      </c>
    </row>
    <row r="356" ht="12.75">
      <c r="B356" s="98">
        <v>36</v>
      </c>
    </row>
    <row r="357" ht="12.75">
      <c r="B357" s="98">
        <v>37</v>
      </c>
    </row>
    <row r="358" ht="12.75">
      <c r="B358" s="98">
        <v>38</v>
      </c>
    </row>
    <row r="359" ht="12.75">
      <c r="B359" s="98">
        <v>39</v>
      </c>
    </row>
    <row r="360" ht="12.75">
      <c r="B360" s="98">
        <v>40</v>
      </c>
    </row>
    <row r="361" ht="12.75">
      <c r="B361" s="98">
        <v>41</v>
      </c>
    </row>
    <row r="362" ht="12.75">
      <c r="B362" s="98">
        <v>42</v>
      </c>
    </row>
    <row r="363" ht="12.75">
      <c r="B363" s="98">
        <v>43</v>
      </c>
    </row>
    <row r="364" ht="12.75">
      <c r="B364" s="98">
        <v>44</v>
      </c>
    </row>
    <row r="365" ht="12.75">
      <c r="B365" s="98">
        <v>45</v>
      </c>
    </row>
    <row r="366" ht="12.75">
      <c r="B366" s="98">
        <v>46</v>
      </c>
    </row>
    <row r="367" ht="12.75">
      <c r="B367" s="98">
        <v>47</v>
      </c>
    </row>
    <row r="368" ht="12.75">
      <c r="B368" s="98">
        <v>48</v>
      </c>
    </row>
    <row r="369" ht="12.75">
      <c r="B369" s="98">
        <v>49</v>
      </c>
    </row>
    <row r="370" ht="12.75">
      <c r="B370" s="98">
        <v>50</v>
      </c>
    </row>
    <row r="371" ht="12.75">
      <c r="B371" s="98">
        <v>51</v>
      </c>
    </row>
    <row r="372" ht="12.75">
      <c r="B372" s="98">
        <v>52</v>
      </c>
    </row>
    <row r="373" ht="12.75">
      <c r="B373" s="98">
        <v>53</v>
      </c>
    </row>
    <row r="374" ht="12.75">
      <c r="B374" s="98">
        <v>54</v>
      </c>
    </row>
    <row r="375" ht="12.75">
      <c r="B375" s="98">
        <v>55</v>
      </c>
    </row>
    <row r="376" ht="12.75">
      <c r="B376" s="98">
        <v>56</v>
      </c>
    </row>
    <row r="377" ht="12.75">
      <c r="B377" s="98">
        <v>57</v>
      </c>
    </row>
    <row r="378" ht="12.75">
      <c r="B378" s="98">
        <v>58</v>
      </c>
    </row>
    <row r="379" ht="12.75">
      <c r="B379" s="98">
        <v>59</v>
      </c>
    </row>
    <row r="380" ht="12.75">
      <c r="B380" s="98">
        <v>60</v>
      </c>
    </row>
    <row r="381" ht="12.75">
      <c r="B381" s="98">
        <v>61</v>
      </c>
    </row>
    <row r="382" ht="12.75">
      <c r="B382" s="98">
        <v>62</v>
      </c>
    </row>
    <row r="383" ht="12.75">
      <c r="B383" s="98">
        <v>63</v>
      </c>
    </row>
    <row r="384" ht="12.75">
      <c r="B384" s="98">
        <v>64</v>
      </c>
    </row>
    <row r="385" ht="12.75">
      <c r="B385" s="98">
        <v>65</v>
      </c>
    </row>
    <row r="386" ht="12.75">
      <c r="B386" s="98">
        <v>66</v>
      </c>
    </row>
    <row r="387" ht="12.75">
      <c r="B387" s="98">
        <v>67</v>
      </c>
    </row>
    <row r="388" ht="12.75">
      <c r="B388" s="98">
        <v>68</v>
      </c>
    </row>
    <row r="389" ht="12.75">
      <c r="B389" s="98">
        <v>69</v>
      </c>
    </row>
    <row r="390" ht="12.75">
      <c r="B390" s="98">
        <v>70</v>
      </c>
    </row>
    <row r="391" ht="12.75">
      <c r="B391" s="98">
        <v>71</v>
      </c>
    </row>
    <row r="392" ht="12.75">
      <c r="B392" s="98">
        <v>72</v>
      </c>
    </row>
    <row r="393" ht="12.75">
      <c r="B393" s="98">
        <v>73</v>
      </c>
    </row>
    <row r="394" ht="12.75">
      <c r="B394" s="98">
        <v>74</v>
      </c>
    </row>
    <row r="395" ht="12.75">
      <c r="B395" s="98">
        <v>75</v>
      </c>
    </row>
    <row r="396" ht="12.75">
      <c r="B396" s="98">
        <v>76</v>
      </c>
    </row>
    <row r="397" ht="12.75">
      <c r="B397" s="98">
        <v>77</v>
      </c>
    </row>
    <row r="398" ht="12.75">
      <c r="B398" s="98">
        <v>78</v>
      </c>
    </row>
    <row r="399" ht="12.75">
      <c r="B399" s="98">
        <v>79</v>
      </c>
    </row>
    <row r="400" ht="12.75">
      <c r="B400" s="98">
        <v>80</v>
      </c>
    </row>
    <row r="401" ht="12.75">
      <c r="B401" s="98">
        <v>81</v>
      </c>
    </row>
    <row r="402" ht="12.75">
      <c r="B402" s="98">
        <v>82</v>
      </c>
    </row>
    <row r="403" ht="12.75">
      <c r="B403" s="98">
        <v>83</v>
      </c>
    </row>
    <row r="404" ht="12.75">
      <c r="B404" s="98">
        <v>84</v>
      </c>
    </row>
    <row r="405" ht="12.75">
      <c r="B405" s="98">
        <v>85</v>
      </c>
    </row>
    <row r="406" ht="12.75">
      <c r="B406" s="98">
        <v>86</v>
      </c>
    </row>
    <row r="407" ht="12.75">
      <c r="B407" s="98">
        <v>87</v>
      </c>
    </row>
    <row r="408" ht="12.75">
      <c r="B408" s="98">
        <v>88</v>
      </c>
    </row>
    <row r="409" ht="12.75">
      <c r="B409" s="98">
        <v>89</v>
      </c>
    </row>
    <row r="410" ht="12.75">
      <c r="B410" s="98">
        <v>90</v>
      </c>
    </row>
    <row r="411" ht="12.75">
      <c r="B411" s="98">
        <v>91</v>
      </c>
    </row>
    <row r="412" ht="12.75">
      <c r="B412" s="98">
        <v>92</v>
      </c>
    </row>
    <row r="413" ht="12.75">
      <c r="B413" s="98">
        <v>93</v>
      </c>
    </row>
    <row r="414" ht="12.75">
      <c r="B414" s="98">
        <v>94</v>
      </c>
    </row>
    <row r="415" ht="12.75">
      <c r="B415" s="98">
        <v>95</v>
      </c>
    </row>
    <row r="416" ht="12.75">
      <c r="B416" s="98">
        <v>96</v>
      </c>
    </row>
    <row r="417" ht="12.75">
      <c r="B417" s="98">
        <v>97</v>
      </c>
    </row>
    <row r="418" ht="12.75">
      <c r="B418" s="98">
        <v>98</v>
      </c>
    </row>
    <row r="419" ht="12.75">
      <c r="B419" s="98">
        <v>99</v>
      </c>
    </row>
    <row r="420" ht="12.75">
      <c r="B420" s="98">
        <v>100</v>
      </c>
    </row>
    <row r="421" ht="12.75">
      <c r="B421" s="98">
        <v>101</v>
      </c>
    </row>
    <row r="422" ht="12.75">
      <c r="B422" s="98">
        <v>500</v>
      </c>
    </row>
    <row r="423" ht="12.75">
      <c r="B423" s="98">
        <v>501</v>
      </c>
    </row>
    <row r="424" ht="12.75">
      <c r="B424" s="98">
        <v>502</v>
      </c>
    </row>
    <row r="425" ht="12.75">
      <c r="B425" s="98">
        <v>503</v>
      </c>
    </row>
    <row r="426" ht="12.75">
      <c r="B426" s="98">
        <v>504</v>
      </c>
    </row>
    <row r="427" ht="12.75">
      <c r="B427" s="98">
        <v>505</v>
      </c>
    </row>
    <row r="428" ht="12.75">
      <c r="B428" s="98">
        <v>506</v>
      </c>
    </row>
    <row r="429" ht="12.75">
      <c r="B429" s="98">
        <v>507</v>
      </c>
    </row>
    <row r="430" ht="12.75">
      <c r="B430" s="98">
        <v>508</v>
      </c>
    </row>
    <row r="431" ht="12.75">
      <c r="B431" s="98">
        <v>509</v>
      </c>
    </row>
    <row r="432" ht="12.75">
      <c r="B432" s="98">
        <v>510</v>
      </c>
    </row>
    <row r="433" ht="12.75">
      <c r="B433" s="98" t="s">
        <v>32</v>
      </c>
    </row>
    <row r="434" ht="12.75">
      <c r="B434" s="98" t="s">
        <v>32</v>
      </c>
    </row>
    <row r="435" ht="12.75">
      <c r="B435" s="98" t="s">
        <v>32</v>
      </c>
    </row>
    <row r="436" ht="12.75">
      <c r="B436" s="98" t="s">
        <v>32</v>
      </c>
    </row>
    <row r="437" ht="12.75">
      <c r="B437" s="98" t="s">
        <v>32</v>
      </c>
    </row>
    <row r="438" ht="12.75">
      <c r="B438" s="98" t="s">
        <v>32</v>
      </c>
    </row>
    <row r="439" ht="12.75">
      <c r="B439" s="98" t="s">
        <v>32</v>
      </c>
    </row>
  </sheetData>
  <sheetProtection/>
  <mergeCells count="5">
    <mergeCell ref="A4:C4"/>
    <mergeCell ref="A1:F1"/>
    <mergeCell ref="A2:F2"/>
    <mergeCell ref="A3:F3"/>
    <mergeCell ref="E4:F4"/>
  </mergeCells>
  <conditionalFormatting sqref="B6:B305">
    <cfRule type="duplicateValues" priority="6" dxfId="19" stopIfTrue="1">
      <formula>AND(COUNTIF($B$6:$B$305,B6)&gt;1,NOT(ISBLANK(B6)))</formula>
    </cfRule>
  </conditionalFormatting>
  <conditionalFormatting sqref="B6:B149">
    <cfRule type="duplicateValues" priority="1" dxfId="19" stopIfTrue="1">
      <formula>AND(COUNTIF($B$6:$B$149,B6)&gt;1,NOT(ISBLANK(B6)))</formula>
    </cfRule>
  </conditionalFormatting>
  <printOptions horizontalCentered="1"/>
  <pageMargins left="0.5905511811023623" right="0.5905511811023623" top="0.5905511811023623" bottom="0.5905511811023623" header="0.3937007874015748" footer="0.15748031496062992"/>
  <pageSetup horizontalDpi="300" verticalDpi="300" orientation="portrait" paperSize="9" scale="88" r:id="rId2"/>
  <headerFooter alignWithMargins="0">
    <oddFooter>&amp;C&amp;P</oddFooter>
  </headerFooter>
  <rowBreaks count="1" manualBreakCount="1">
    <brk id="49"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120"/>
  <sheetViews>
    <sheetView tabSelected="1" view="pageBreakPreview" zoomScaleSheetLayoutView="100" zoomScalePageLayoutView="0" workbookViewId="0" topLeftCell="A1">
      <selection activeCell="A121" sqref="A121"/>
    </sheetView>
  </sheetViews>
  <sheetFormatPr defaultColWidth="9.00390625" defaultRowHeight="12.75"/>
  <cols>
    <col min="1" max="1" width="5.125" style="32" customWidth="1"/>
    <col min="2" max="2" width="6.375" style="32" bestFit="1" customWidth="1"/>
    <col min="3" max="3" width="24.375" style="36" customWidth="1"/>
    <col min="4" max="4" width="31.75390625" style="36" customWidth="1"/>
    <col min="5" max="5" width="7.125" style="31" customWidth="1"/>
    <col min="6" max="6" width="12.875" style="32" customWidth="1"/>
    <col min="7" max="7" width="9.125" style="106" customWidth="1"/>
    <col min="8" max="8" width="6.75390625" style="31" customWidth="1"/>
    <col min="9" max="16384" width="9.125" style="31" customWidth="1"/>
  </cols>
  <sheetData>
    <row r="1" spans="1:10" ht="33.75" customHeight="1">
      <c r="A1" s="190" t="str">
        <f>KAPAK!A2</f>
        <v>Türkiye Atletizm Federasyonu
Ankara Atletizm İl Temsilciliği</v>
      </c>
      <c r="B1" s="190"/>
      <c r="C1" s="190"/>
      <c r="D1" s="190"/>
      <c r="E1" s="190"/>
      <c r="F1" s="190"/>
      <c r="G1" s="190"/>
      <c r="H1" s="190"/>
      <c r="J1" s="32"/>
    </row>
    <row r="2" spans="1:8" s="142" customFormat="1" ht="23.25" customHeight="1">
      <c r="A2" s="191" t="str">
        <f>KAPAK!B25</f>
        <v>Atatürk'ü Anma Kros Yarışmaları</v>
      </c>
      <c r="B2" s="191"/>
      <c r="C2" s="191"/>
      <c r="D2" s="191"/>
      <c r="E2" s="191"/>
      <c r="F2" s="191"/>
      <c r="G2" s="191"/>
      <c r="H2" s="191"/>
    </row>
    <row r="3" spans="1:9" ht="14.25">
      <c r="A3" s="192" t="str">
        <f>KAPAK!B28</f>
        <v>Ankara</v>
      </c>
      <c r="B3" s="192"/>
      <c r="C3" s="192"/>
      <c r="D3" s="192"/>
      <c r="E3" s="192"/>
      <c r="F3" s="192"/>
      <c r="G3" s="192"/>
      <c r="H3" s="192"/>
      <c r="I3" s="33"/>
    </row>
    <row r="4" spans="1:8" s="113" customFormat="1" ht="15.75" customHeight="1">
      <c r="A4" s="184" t="str">
        <f>KAPAK!B27</f>
        <v>Küçük Erkek</v>
      </c>
      <c r="B4" s="184"/>
      <c r="C4" s="184"/>
      <c r="D4" s="159" t="str">
        <f>KAPAK!B26</f>
        <v>2 Km.</v>
      </c>
      <c r="E4" s="160"/>
      <c r="F4" s="193">
        <f>KAPAK!B29</f>
        <v>41953.40625</v>
      </c>
      <c r="G4" s="193"/>
      <c r="H4" s="193"/>
    </row>
    <row r="5" spans="1:16" s="34" customFormat="1" ht="25.5">
      <c r="A5" s="151" t="s">
        <v>0</v>
      </c>
      <c r="B5" s="152" t="s">
        <v>1</v>
      </c>
      <c r="C5" s="152" t="s">
        <v>3</v>
      </c>
      <c r="D5" s="152" t="s">
        <v>29</v>
      </c>
      <c r="E5" s="152" t="s">
        <v>8</v>
      </c>
      <c r="F5" s="153" t="s">
        <v>2</v>
      </c>
      <c r="G5" s="154" t="s">
        <v>4</v>
      </c>
      <c r="H5" s="152" t="s">
        <v>15</v>
      </c>
      <c r="L5" s="35"/>
      <c r="M5" s="35"/>
      <c r="N5" s="35"/>
      <c r="O5" s="35"/>
      <c r="P5" s="35"/>
    </row>
    <row r="6" spans="1:10" ht="18" customHeight="1">
      <c r="A6" s="99">
        <v>1</v>
      </c>
      <c r="B6" s="100">
        <v>510</v>
      </c>
      <c r="C6" s="101" t="s">
        <v>183</v>
      </c>
      <c r="D6" s="101" t="s">
        <v>184</v>
      </c>
      <c r="E6" s="102" t="s">
        <v>35</v>
      </c>
      <c r="F6" s="103">
        <v>37906</v>
      </c>
      <c r="G6" s="105">
        <v>626</v>
      </c>
      <c r="H6" s="104">
        <v>0</v>
      </c>
      <c r="J6" s="32"/>
    </row>
    <row r="7" spans="1:10" ht="18" customHeight="1">
      <c r="A7" s="99">
        <v>2</v>
      </c>
      <c r="B7" s="100">
        <v>45</v>
      </c>
      <c r="C7" s="101" t="s">
        <v>99</v>
      </c>
      <c r="D7" s="101" t="s">
        <v>100</v>
      </c>
      <c r="E7" s="102" t="s">
        <v>31</v>
      </c>
      <c r="F7" s="103">
        <v>37810</v>
      </c>
      <c r="G7" s="105">
        <v>627</v>
      </c>
      <c r="H7" s="104">
        <v>1</v>
      </c>
      <c r="J7" s="32"/>
    </row>
    <row r="8" spans="1:10" ht="18" customHeight="1">
      <c r="A8" s="99">
        <v>3</v>
      </c>
      <c r="B8" s="100">
        <v>60</v>
      </c>
      <c r="C8" s="101" t="s">
        <v>116</v>
      </c>
      <c r="D8" s="101" t="s">
        <v>117</v>
      </c>
      <c r="E8" s="102" t="s">
        <v>31</v>
      </c>
      <c r="F8" s="103">
        <v>37622</v>
      </c>
      <c r="G8" s="105">
        <v>631</v>
      </c>
      <c r="H8" s="104">
        <v>2</v>
      </c>
      <c r="J8" s="32"/>
    </row>
    <row r="9" spans="1:8" ht="18" customHeight="1">
      <c r="A9" s="99">
        <v>4</v>
      </c>
      <c r="B9" s="100">
        <v>71</v>
      </c>
      <c r="C9" s="101" t="s">
        <v>129</v>
      </c>
      <c r="D9" s="101" t="s">
        <v>130</v>
      </c>
      <c r="E9" s="102" t="s">
        <v>31</v>
      </c>
      <c r="F9" s="103" t="s">
        <v>131</v>
      </c>
      <c r="G9" s="105">
        <v>634</v>
      </c>
      <c r="H9" s="104">
        <v>3</v>
      </c>
    </row>
    <row r="10" spans="1:8" ht="18" customHeight="1">
      <c r="A10" s="99">
        <v>5</v>
      </c>
      <c r="B10" s="100">
        <v>61</v>
      </c>
      <c r="C10" s="101" t="s">
        <v>118</v>
      </c>
      <c r="D10" s="101" t="s">
        <v>117</v>
      </c>
      <c r="E10" s="102" t="s">
        <v>31</v>
      </c>
      <c r="F10" s="103">
        <v>37622</v>
      </c>
      <c r="G10" s="105">
        <v>636</v>
      </c>
      <c r="H10" s="104">
        <v>4</v>
      </c>
    </row>
    <row r="11" spans="1:8" ht="18" customHeight="1">
      <c r="A11" s="99">
        <v>6</v>
      </c>
      <c r="B11" s="100">
        <v>501</v>
      </c>
      <c r="C11" s="101" t="s">
        <v>171</v>
      </c>
      <c r="D11" s="101" t="s">
        <v>172</v>
      </c>
      <c r="E11" s="102" t="s">
        <v>35</v>
      </c>
      <c r="F11" s="103">
        <v>37920</v>
      </c>
      <c r="G11" s="105">
        <v>643</v>
      </c>
      <c r="H11" s="104">
        <v>4</v>
      </c>
    </row>
    <row r="12" spans="1:8" ht="18" customHeight="1">
      <c r="A12" s="99">
        <v>7</v>
      </c>
      <c r="B12" s="100">
        <v>506</v>
      </c>
      <c r="C12" s="101" t="s">
        <v>178</v>
      </c>
      <c r="D12" s="101" t="s">
        <v>45</v>
      </c>
      <c r="E12" s="102" t="s">
        <v>35</v>
      </c>
      <c r="F12" s="103">
        <v>37733</v>
      </c>
      <c r="G12" s="105">
        <v>644</v>
      </c>
      <c r="H12" s="104">
        <v>4</v>
      </c>
    </row>
    <row r="13" spans="1:8" ht="18" customHeight="1">
      <c r="A13" s="99">
        <v>8</v>
      </c>
      <c r="B13" s="100">
        <v>46</v>
      </c>
      <c r="C13" s="101" t="s">
        <v>41</v>
      </c>
      <c r="D13" s="101" t="s">
        <v>100</v>
      </c>
      <c r="E13" s="102" t="s">
        <v>31</v>
      </c>
      <c r="F13" s="103">
        <v>37746</v>
      </c>
      <c r="G13" s="105">
        <v>646</v>
      </c>
      <c r="H13" s="104">
        <v>5</v>
      </c>
    </row>
    <row r="14" spans="1:8" ht="18" customHeight="1">
      <c r="A14" s="99">
        <v>9</v>
      </c>
      <c r="B14" s="100">
        <v>1</v>
      </c>
      <c r="C14" s="101" t="s">
        <v>48</v>
      </c>
      <c r="D14" s="101" t="s">
        <v>49</v>
      </c>
      <c r="E14" s="102" t="s">
        <v>31</v>
      </c>
      <c r="F14" s="103">
        <v>37765</v>
      </c>
      <c r="G14" s="105">
        <v>648</v>
      </c>
      <c r="H14" s="104">
        <v>6</v>
      </c>
    </row>
    <row r="15" spans="1:8" ht="18" customHeight="1">
      <c r="A15" s="99">
        <v>10</v>
      </c>
      <c r="B15" s="100">
        <v>23</v>
      </c>
      <c r="C15" s="101" t="s">
        <v>74</v>
      </c>
      <c r="D15" s="101" t="s">
        <v>73</v>
      </c>
      <c r="E15" s="102" t="s">
        <v>31</v>
      </c>
      <c r="F15" s="103">
        <v>37622</v>
      </c>
      <c r="G15" s="105">
        <v>649</v>
      </c>
      <c r="H15" s="104">
        <v>7</v>
      </c>
    </row>
    <row r="16" spans="1:8" ht="18" customHeight="1">
      <c r="A16" s="99">
        <v>11</v>
      </c>
      <c r="B16" s="100">
        <v>505</v>
      </c>
      <c r="C16" s="101" t="s">
        <v>177</v>
      </c>
      <c r="D16" s="101" t="s">
        <v>45</v>
      </c>
      <c r="E16" s="102" t="s">
        <v>35</v>
      </c>
      <c r="F16" s="103">
        <v>37622</v>
      </c>
      <c r="G16" s="105">
        <v>649</v>
      </c>
      <c r="H16" s="104">
        <v>7</v>
      </c>
    </row>
    <row r="17" spans="1:8" ht="18" customHeight="1">
      <c r="A17" s="99">
        <v>12</v>
      </c>
      <c r="B17" s="100">
        <v>69</v>
      </c>
      <c r="C17" s="101" t="s">
        <v>127</v>
      </c>
      <c r="D17" s="101" t="s">
        <v>126</v>
      </c>
      <c r="E17" s="102" t="s">
        <v>31</v>
      </c>
      <c r="F17" s="103">
        <v>37622</v>
      </c>
      <c r="G17" s="105">
        <v>700</v>
      </c>
      <c r="H17" s="104">
        <v>8</v>
      </c>
    </row>
    <row r="18" spans="1:8" ht="18" customHeight="1">
      <c r="A18" s="99">
        <v>13</v>
      </c>
      <c r="B18" s="100">
        <v>508</v>
      </c>
      <c r="C18" s="101" t="s">
        <v>180</v>
      </c>
      <c r="D18" s="101" t="s">
        <v>46</v>
      </c>
      <c r="E18" s="102" t="s">
        <v>35</v>
      </c>
      <c r="F18" s="103">
        <v>37751</v>
      </c>
      <c r="G18" s="105">
        <v>703</v>
      </c>
      <c r="H18" s="104">
        <v>8</v>
      </c>
    </row>
    <row r="19" spans="1:8" ht="18" customHeight="1">
      <c r="A19" s="99">
        <v>14</v>
      </c>
      <c r="B19" s="100">
        <v>22</v>
      </c>
      <c r="C19" s="101" t="s">
        <v>72</v>
      </c>
      <c r="D19" s="101" t="s">
        <v>73</v>
      </c>
      <c r="E19" s="102" t="s">
        <v>31</v>
      </c>
      <c r="F19" s="103">
        <v>37866</v>
      </c>
      <c r="G19" s="105">
        <v>703</v>
      </c>
      <c r="H19" s="104">
        <v>9</v>
      </c>
    </row>
    <row r="20" spans="1:8" ht="18" customHeight="1">
      <c r="A20" s="99">
        <v>15</v>
      </c>
      <c r="B20" s="100">
        <v>38</v>
      </c>
      <c r="C20" s="101" t="s">
        <v>91</v>
      </c>
      <c r="D20" s="101" t="s">
        <v>90</v>
      </c>
      <c r="E20" s="102" t="s">
        <v>31</v>
      </c>
      <c r="F20" s="103">
        <v>37622</v>
      </c>
      <c r="G20" s="105">
        <v>705</v>
      </c>
      <c r="H20" s="104">
        <v>10</v>
      </c>
    </row>
    <row r="21" spans="1:8" ht="18" customHeight="1">
      <c r="A21" s="99">
        <v>16</v>
      </c>
      <c r="B21" s="100">
        <v>27</v>
      </c>
      <c r="C21" s="101" t="s">
        <v>79</v>
      </c>
      <c r="D21" s="101" t="s">
        <v>77</v>
      </c>
      <c r="E21" s="102" t="s">
        <v>31</v>
      </c>
      <c r="F21" s="103">
        <v>37987</v>
      </c>
      <c r="G21" s="105">
        <v>706</v>
      </c>
      <c r="H21" s="104">
        <v>11</v>
      </c>
    </row>
    <row r="22" spans="1:8" ht="18" customHeight="1">
      <c r="A22" s="99">
        <v>17</v>
      </c>
      <c r="B22" s="100">
        <v>25</v>
      </c>
      <c r="C22" s="101" t="s">
        <v>76</v>
      </c>
      <c r="D22" s="101" t="s">
        <v>77</v>
      </c>
      <c r="E22" s="102" t="s">
        <v>31</v>
      </c>
      <c r="F22" s="103">
        <v>37987</v>
      </c>
      <c r="G22" s="105">
        <v>707</v>
      </c>
      <c r="H22" s="104">
        <v>12</v>
      </c>
    </row>
    <row r="23" spans="1:8" ht="18" customHeight="1">
      <c r="A23" s="99">
        <v>18</v>
      </c>
      <c r="B23" s="100">
        <v>2</v>
      </c>
      <c r="C23" s="101" t="s">
        <v>50</v>
      </c>
      <c r="D23" s="101" t="s">
        <v>49</v>
      </c>
      <c r="E23" s="102" t="s">
        <v>31</v>
      </c>
      <c r="F23" s="103">
        <v>37964</v>
      </c>
      <c r="G23" s="105">
        <v>710</v>
      </c>
      <c r="H23" s="104">
        <v>13</v>
      </c>
    </row>
    <row r="24" spans="1:8" ht="18" customHeight="1">
      <c r="A24" s="99">
        <v>19</v>
      </c>
      <c r="B24" s="100">
        <v>62</v>
      </c>
      <c r="C24" s="101" t="s">
        <v>119</v>
      </c>
      <c r="D24" s="101" t="s">
        <v>117</v>
      </c>
      <c r="E24" s="102" t="s">
        <v>31</v>
      </c>
      <c r="F24" s="103">
        <v>37622</v>
      </c>
      <c r="G24" s="105">
        <v>711</v>
      </c>
      <c r="H24" s="104">
        <v>14</v>
      </c>
    </row>
    <row r="25" spans="1:8" ht="18" customHeight="1">
      <c r="A25" s="99">
        <v>20</v>
      </c>
      <c r="B25" s="100">
        <v>76</v>
      </c>
      <c r="C25" s="101" t="s">
        <v>139</v>
      </c>
      <c r="D25" s="101" t="s">
        <v>138</v>
      </c>
      <c r="E25" s="102" t="s">
        <v>31</v>
      </c>
      <c r="F25" s="103">
        <v>37622</v>
      </c>
      <c r="G25" s="105">
        <v>712</v>
      </c>
      <c r="H25" s="104">
        <v>15</v>
      </c>
    </row>
    <row r="26" spans="1:8" ht="18" customHeight="1">
      <c r="A26" s="99">
        <v>21</v>
      </c>
      <c r="B26" s="100">
        <v>5</v>
      </c>
      <c r="C26" s="101" t="s">
        <v>53</v>
      </c>
      <c r="D26" s="101" t="s">
        <v>54</v>
      </c>
      <c r="E26" s="102" t="s">
        <v>31</v>
      </c>
      <c r="F26" s="103">
        <v>37941</v>
      </c>
      <c r="G26" s="105">
        <v>713</v>
      </c>
      <c r="H26" s="104">
        <v>16</v>
      </c>
    </row>
    <row r="27" spans="1:8" ht="18" customHeight="1">
      <c r="A27" s="99">
        <v>22</v>
      </c>
      <c r="B27" s="100">
        <v>56</v>
      </c>
      <c r="C27" s="101" t="s">
        <v>111</v>
      </c>
      <c r="D27" s="101" t="s">
        <v>112</v>
      </c>
      <c r="E27" s="102" t="s">
        <v>31</v>
      </c>
      <c r="F27" s="103">
        <v>37622</v>
      </c>
      <c r="G27" s="105">
        <v>714</v>
      </c>
      <c r="H27" s="104">
        <v>17</v>
      </c>
    </row>
    <row r="28" spans="1:8" ht="18" customHeight="1">
      <c r="A28" s="99">
        <v>23</v>
      </c>
      <c r="B28" s="100">
        <v>82</v>
      </c>
      <c r="C28" s="101" t="s">
        <v>38</v>
      </c>
      <c r="D28" s="101" t="s">
        <v>146</v>
      </c>
      <c r="E28" s="102" t="s">
        <v>31</v>
      </c>
      <c r="F28" s="103">
        <v>37700</v>
      </c>
      <c r="G28" s="105">
        <v>715</v>
      </c>
      <c r="H28" s="104">
        <v>18</v>
      </c>
    </row>
    <row r="29" spans="1:8" ht="18" customHeight="1">
      <c r="A29" s="99">
        <v>24</v>
      </c>
      <c r="B29" s="100">
        <v>101</v>
      </c>
      <c r="C29" s="101" t="s">
        <v>42</v>
      </c>
      <c r="D29" s="101" t="s">
        <v>100</v>
      </c>
      <c r="E29" s="102" t="s">
        <v>31</v>
      </c>
      <c r="F29" s="103">
        <v>37773</v>
      </c>
      <c r="G29" s="105">
        <v>716</v>
      </c>
      <c r="H29" s="104">
        <v>19</v>
      </c>
    </row>
    <row r="30" spans="1:8" ht="18" customHeight="1">
      <c r="A30" s="99">
        <v>25</v>
      </c>
      <c r="B30" s="100">
        <v>72</v>
      </c>
      <c r="C30" s="101" t="s">
        <v>132</v>
      </c>
      <c r="D30" s="101" t="s">
        <v>130</v>
      </c>
      <c r="E30" s="102" t="s">
        <v>31</v>
      </c>
      <c r="F30" s="103" t="s">
        <v>133</v>
      </c>
      <c r="G30" s="105">
        <v>717</v>
      </c>
      <c r="H30" s="104">
        <v>20</v>
      </c>
    </row>
    <row r="31" spans="1:8" ht="18" customHeight="1">
      <c r="A31" s="99">
        <v>26</v>
      </c>
      <c r="B31" s="100">
        <v>89</v>
      </c>
      <c r="C31" s="101" t="s">
        <v>154</v>
      </c>
      <c r="D31" s="101" t="s">
        <v>151</v>
      </c>
      <c r="E31" s="102" t="s">
        <v>31</v>
      </c>
      <c r="F31" s="103">
        <v>37698</v>
      </c>
      <c r="G31" s="105" t="s">
        <v>32</v>
      </c>
      <c r="H31" s="104">
        <v>21</v>
      </c>
    </row>
    <row r="32" spans="1:8" ht="18" customHeight="1">
      <c r="A32" s="99">
        <v>27</v>
      </c>
      <c r="B32" s="100">
        <v>502</v>
      </c>
      <c r="C32" s="101" t="s">
        <v>173</v>
      </c>
      <c r="D32" s="101" t="s">
        <v>172</v>
      </c>
      <c r="E32" s="102" t="s">
        <v>35</v>
      </c>
      <c r="F32" s="103">
        <v>37821</v>
      </c>
      <c r="G32" s="105" t="s">
        <v>32</v>
      </c>
      <c r="H32" s="104">
        <v>21</v>
      </c>
    </row>
    <row r="33" spans="1:8" ht="18" customHeight="1">
      <c r="A33" s="99">
        <v>28</v>
      </c>
      <c r="B33" s="100">
        <v>103</v>
      </c>
      <c r="C33" s="101" t="s">
        <v>190</v>
      </c>
      <c r="D33" s="101" t="s">
        <v>188</v>
      </c>
      <c r="E33" s="102" t="s">
        <v>31</v>
      </c>
      <c r="F33" s="103">
        <v>37827</v>
      </c>
      <c r="G33" s="105" t="s">
        <v>32</v>
      </c>
      <c r="H33" s="104">
        <v>22</v>
      </c>
    </row>
    <row r="34" spans="1:8" ht="18" customHeight="1">
      <c r="A34" s="99">
        <v>29</v>
      </c>
      <c r="B34" s="100">
        <v>73</v>
      </c>
      <c r="C34" s="101" t="s">
        <v>134</v>
      </c>
      <c r="D34" s="101" t="s">
        <v>130</v>
      </c>
      <c r="E34" s="102" t="s">
        <v>31</v>
      </c>
      <c r="F34" s="103">
        <v>37857</v>
      </c>
      <c r="G34" s="105" t="s">
        <v>32</v>
      </c>
      <c r="H34" s="104">
        <v>23</v>
      </c>
    </row>
    <row r="35" spans="1:8" ht="18" customHeight="1">
      <c r="A35" s="99">
        <v>30</v>
      </c>
      <c r="B35" s="100">
        <v>67</v>
      </c>
      <c r="C35" s="101" t="s">
        <v>40</v>
      </c>
      <c r="D35" s="101" t="s">
        <v>122</v>
      </c>
      <c r="E35" s="102" t="s">
        <v>31</v>
      </c>
      <c r="F35" s="103">
        <v>37746</v>
      </c>
      <c r="G35" s="105" t="s">
        <v>32</v>
      </c>
      <c r="H35" s="104">
        <v>24</v>
      </c>
    </row>
    <row r="36" spans="1:8" ht="18" customHeight="1">
      <c r="A36" s="99">
        <v>31</v>
      </c>
      <c r="B36" s="100">
        <v>63</v>
      </c>
      <c r="C36" s="101" t="s">
        <v>120</v>
      </c>
      <c r="D36" s="101" t="s">
        <v>117</v>
      </c>
      <c r="E36" s="102" t="s">
        <v>31</v>
      </c>
      <c r="F36" s="103">
        <v>37622</v>
      </c>
      <c r="G36" s="105" t="s">
        <v>32</v>
      </c>
      <c r="H36" s="104">
        <v>25</v>
      </c>
    </row>
    <row r="37" spans="1:8" ht="18" customHeight="1">
      <c r="A37" s="99">
        <v>32</v>
      </c>
      <c r="B37" s="100">
        <v>507</v>
      </c>
      <c r="C37" s="101" t="s">
        <v>179</v>
      </c>
      <c r="D37" s="101" t="s">
        <v>151</v>
      </c>
      <c r="E37" s="102" t="s">
        <v>35</v>
      </c>
      <c r="F37" s="103">
        <v>37819</v>
      </c>
      <c r="G37" s="105" t="s">
        <v>32</v>
      </c>
      <c r="H37" s="104">
        <v>25</v>
      </c>
    </row>
    <row r="38" spans="1:8" ht="18" customHeight="1">
      <c r="A38" s="99">
        <v>33</v>
      </c>
      <c r="B38" s="100">
        <v>90</v>
      </c>
      <c r="C38" s="101" t="s">
        <v>155</v>
      </c>
      <c r="D38" s="101" t="s">
        <v>156</v>
      </c>
      <c r="E38" s="102" t="s">
        <v>31</v>
      </c>
      <c r="F38" s="103">
        <v>37744</v>
      </c>
      <c r="G38" s="105" t="s">
        <v>32</v>
      </c>
      <c r="H38" s="104">
        <v>26</v>
      </c>
    </row>
    <row r="39" spans="1:8" ht="18" customHeight="1">
      <c r="A39" s="99">
        <v>34</v>
      </c>
      <c r="B39" s="100">
        <v>30</v>
      </c>
      <c r="C39" s="101" t="s">
        <v>82</v>
      </c>
      <c r="D39" s="101" t="s">
        <v>36</v>
      </c>
      <c r="E39" s="102" t="s">
        <v>31</v>
      </c>
      <c r="F39" s="103">
        <v>37622</v>
      </c>
      <c r="G39" s="105" t="s">
        <v>32</v>
      </c>
      <c r="H39" s="104">
        <v>27</v>
      </c>
    </row>
    <row r="40" spans="1:8" ht="18" customHeight="1">
      <c r="A40" s="99">
        <v>35</v>
      </c>
      <c r="B40" s="100">
        <v>47</v>
      </c>
      <c r="C40" s="101" t="s">
        <v>101</v>
      </c>
      <c r="D40" s="101" t="s">
        <v>100</v>
      </c>
      <c r="E40" s="102" t="s">
        <v>31</v>
      </c>
      <c r="F40" s="103">
        <v>37622</v>
      </c>
      <c r="G40" s="105" t="s">
        <v>32</v>
      </c>
      <c r="H40" s="104">
        <v>28</v>
      </c>
    </row>
    <row r="41" spans="1:8" ht="18" customHeight="1">
      <c r="A41" s="99">
        <v>36</v>
      </c>
      <c r="B41" s="100">
        <v>509</v>
      </c>
      <c r="C41" s="101" t="s">
        <v>181</v>
      </c>
      <c r="D41" s="101" t="s">
        <v>182</v>
      </c>
      <c r="E41" s="102" t="s">
        <v>35</v>
      </c>
      <c r="F41" s="103">
        <v>37622</v>
      </c>
      <c r="G41" s="105" t="s">
        <v>32</v>
      </c>
      <c r="H41" s="104">
        <v>28</v>
      </c>
    </row>
    <row r="42" spans="1:8" ht="18" customHeight="1">
      <c r="A42" s="99">
        <v>37</v>
      </c>
      <c r="B42" s="100">
        <v>17</v>
      </c>
      <c r="C42" s="101" t="s">
        <v>67</v>
      </c>
      <c r="D42" s="101" t="s">
        <v>34</v>
      </c>
      <c r="E42" s="102" t="s">
        <v>31</v>
      </c>
      <c r="F42" s="103">
        <v>37681</v>
      </c>
      <c r="G42" s="105" t="s">
        <v>32</v>
      </c>
      <c r="H42" s="104">
        <v>29</v>
      </c>
    </row>
    <row r="43" spans="1:8" ht="18" customHeight="1">
      <c r="A43" s="99">
        <v>38</v>
      </c>
      <c r="B43" s="100">
        <v>19</v>
      </c>
      <c r="C43" s="101" t="s">
        <v>69</v>
      </c>
      <c r="D43" s="101" t="s">
        <v>33</v>
      </c>
      <c r="E43" s="102" t="s">
        <v>31</v>
      </c>
      <c r="F43" s="103">
        <v>38262</v>
      </c>
      <c r="G43" s="105" t="s">
        <v>32</v>
      </c>
      <c r="H43" s="104">
        <v>30</v>
      </c>
    </row>
    <row r="44" spans="1:8" ht="18" customHeight="1">
      <c r="A44" s="99">
        <v>39</v>
      </c>
      <c r="B44" s="100">
        <v>13</v>
      </c>
      <c r="C44" s="101" t="s">
        <v>64</v>
      </c>
      <c r="D44" s="101" t="s">
        <v>63</v>
      </c>
      <c r="E44" s="102" t="s">
        <v>31</v>
      </c>
      <c r="F44" s="103">
        <v>37854</v>
      </c>
      <c r="G44" s="105" t="s">
        <v>32</v>
      </c>
      <c r="H44" s="104">
        <v>31</v>
      </c>
    </row>
    <row r="45" spans="1:8" ht="18" customHeight="1">
      <c r="A45" s="99">
        <v>40</v>
      </c>
      <c r="B45" s="100">
        <v>504</v>
      </c>
      <c r="C45" s="101" t="s">
        <v>175</v>
      </c>
      <c r="D45" s="101" t="s">
        <v>176</v>
      </c>
      <c r="E45" s="102" t="s">
        <v>35</v>
      </c>
      <c r="F45" s="103">
        <v>37711</v>
      </c>
      <c r="G45" s="105" t="s">
        <v>32</v>
      </c>
      <c r="H45" s="104">
        <v>31</v>
      </c>
    </row>
    <row r="46" spans="1:8" ht="18" customHeight="1">
      <c r="A46" s="99">
        <v>41</v>
      </c>
      <c r="B46" s="100">
        <v>94</v>
      </c>
      <c r="C46" s="101" t="s">
        <v>160</v>
      </c>
      <c r="D46" s="101" t="s">
        <v>161</v>
      </c>
      <c r="E46" s="102" t="s">
        <v>31</v>
      </c>
      <c r="F46" s="103">
        <v>37987</v>
      </c>
      <c r="G46" s="105" t="s">
        <v>32</v>
      </c>
      <c r="H46" s="104">
        <v>32</v>
      </c>
    </row>
    <row r="47" spans="1:8" ht="18" customHeight="1">
      <c r="A47" s="99">
        <v>42</v>
      </c>
      <c r="B47" s="100">
        <v>57</v>
      </c>
      <c r="C47" s="101" t="s">
        <v>113</v>
      </c>
      <c r="D47" s="101" t="s">
        <v>112</v>
      </c>
      <c r="E47" s="102" t="s">
        <v>31</v>
      </c>
      <c r="F47" s="103">
        <v>37989</v>
      </c>
      <c r="G47" s="105" t="s">
        <v>32</v>
      </c>
      <c r="H47" s="104">
        <v>33</v>
      </c>
    </row>
    <row r="48" spans="1:8" ht="18" customHeight="1">
      <c r="A48" s="99">
        <v>43</v>
      </c>
      <c r="B48" s="100">
        <v>97</v>
      </c>
      <c r="C48" s="101" t="s">
        <v>164</v>
      </c>
      <c r="D48" s="101" t="s">
        <v>161</v>
      </c>
      <c r="E48" s="102" t="s">
        <v>31</v>
      </c>
      <c r="F48" s="103">
        <v>37718</v>
      </c>
      <c r="G48" s="105" t="s">
        <v>32</v>
      </c>
      <c r="H48" s="104">
        <v>34</v>
      </c>
    </row>
    <row r="49" spans="1:8" ht="18" customHeight="1">
      <c r="A49" s="99">
        <v>44</v>
      </c>
      <c r="B49" s="100">
        <v>98</v>
      </c>
      <c r="C49" s="101" t="s">
        <v>165</v>
      </c>
      <c r="D49" s="101" t="s">
        <v>166</v>
      </c>
      <c r="E49" s="102" t="s">
        <v>31</v>
      </c>
      <c r="F49" s="103">
        <v>38198</v>
      </c>
      <c r="G49" s="105" t="s">
        <v>32</v>
      </c>
      <c r="H49" s="104">
        <v>35</v>
      </c>
    </row>
    <row r="50" spans="1:8" ht="18" customHeight="1">
      <c r="A50" s="99">
        <v>45</v>
      </c>
      <c r="B50" s="100">
        <v>12</v>
      </c>
      <c r="C50" s="101" t="s">
        <v>62</v>
      </c>
      <c r="D50" s="101" t="s">
        <v>63</v>
      </c>
      <c r="E50" s="102" t="s">
        <v>31</v>
      </c>
      <c r="F50" s="103">
        <v>37622</v>
      </c>
      <c r="G50" s="105" t="s">
        <v>32</v>
      </c>
      <c r="H50" s="104">
        <v>36</v>
      </c>
    </row>
    <row r="51" spans="1:8" ht="18" customHeight="1">
      <c r="A51" s="99">
        <v>46</v>
      </c>
      <c r="B51" s="100">
        <v>92</v>
      </c>
      <c r="C51" s="101" t="s">
        <v>158</v>
      </c>
      <c r="D51" s="101" t="s">
        <v>156</v>
      </c>
      <c r="E51" s="102" t="s">
        <v>31</v>
      </c>
      <c r="F51" s="103">
        <v>37761</v>
      </c>
      <c r="G51" s="105" t="s">
        <v>32</v>
      </c>
      <c r="H51" s="104">
        <v>37</v>
      </c>
    </row>
    <row r="52" spans="1:8" ht="18" customHeight="1">
      <c r="A52" s="99">
        <v>47</v>
      </c>
      <c r="B52" s="100">
        <v>91</v>
      </c>
      <c r="C52" s="101" t="s">
        <v>157</v>
      </c>
      <c r="D52" s="101" t="s">
        <v>156</v>
      </c>
      <c r="E52" s="102" t="s">
        <v>31</v>
      </c>
      <c r="F52" s="103">
        <v>37671</v>
      </c>
      <c r="G52" s="105" t="s">
        <v>32</v>
      </c>
      <c r="H52" s="104">
        <v>38</v>
      </c>
    </row>
    <row r="53" spans="1:8" ht="18" customHeight="1">
      <c r="A53" s="99">
        <v>48</v>
      </c>
      <c r="B53" s="100">
        <v>95</v>
      </c>
      <c r="C53" s="101" t="s">
        <v>162</v>
      </c>
      <c r="D53" s="101" t="s">
        <v>161</v>
      </c>
      <c r="E53" s="102" t="s">
        <v>31</v>
      </c>
      <c r="F53" s="103">
        <v>37681</v>
      </c>
      <c r="G53" s="105" t="s">
        <v>32</v>
      </c>
      <c r="H53" s="104">
        <v>39</v>
      </c>
    </row>
    <row r="54" spans="1:8" ht="18" customHeight="1">
      <c r="A54" s="99">
        <v>49</v>
      </c>
      <c r="B54" s="100">
        <v>53</v>
      </c>
      <c r="C54" s="101" t="s">
        <v>108</v>
      </c>
      <c r="D54" s="101" t="s">
        <v>107</v>
      </c>
      <c r="E54" s="102" t="s">
        <v>31</v>
      </c>
      <c r="F54" s="103">
        <v>37628</v>
      </c>
      <c r="G54" s="105" t="s">
        <v>32</v>
      </c>
      <c r="H54" s="104">
        <v>40</v>
      </c>
    </row>
    <row r="55" spans="1:8" ht="18" customHeight="1">
      <c r="A55" s="99">
        <v>50</v>
      </c>
      <c r="B55" s="100">
        <v>4</v>
      </c>
      <c r="C55" s="101" t="s">
        <v>52</v>
      </c>
      <c r="D55" s="101" t="s">
        <v>49</v>
      </c>
      <c r="E55" s="102" t="s">
        <v>31</v>
      </c>
      <c r="F55" s="103">
        <v>37874</v>
      </c>
      <c r="G55" s="105" t="s">
        <v>32</v>
      </c>
      <c r="H55" s="104">
        <v>41</v>
      </c>
    </row>
    <row r="56" spans="1:8" ht="18" customHeight="1">
      <c r="A56" s="99">
        <v>51</v>
      </c>
      <c r="B56" s="100">
        <v>59</v>
      </c>
      <c r="C56" s="101" t="s">
        <v>115</v>
      </c>
      <c r="D56" s="101" t="s">
        <v>112</v>
      </c>
      <c r="E56" s="102" t="s">
        <v>31</v>
      </c>
      <c r="F56" s="103">
        <v>37987</v>
      </c>
      <c r="G56" s="105" t="s">
        <v>32</v>
      </c>
      <c r="H56" s="104">
        <v>42</v>
      </c>
    </row>
    <row r="57" spans="1:8" ht="18" customHeight="1">
      <c r="A57" s="99">
        <v>52</v>
      </c>
      <c r="B57" s="100">
        <v>8</v>
      </c>
      <c r="C57" s="101" t="s">
        <v>57</v>
      </c>
      <c r="D57" s="101" t="s">
        <v>58</v>
      </c>
      <c r="E57" s="102" t="s">
        <v>31</v>
      </c>
      <c r="F57" s="103">
        <v>37622</v>
      </c>
      <c r="G57" s="105" t="s">
        <v>32</v>
      </c>
      <c r="H57" s="104">
        <v>43</v>
      </c>
    </row>
    <row r="58" spans="1:8" ht="18" customHeight="1">
      <c r="A58" s="99">
        <v>53</v>
      </c>
      <c r="B58" s="100">
        <v>43</v>
      </c>
      <c r="C58" s="101" t="s">
        <v>97</v>
      </c>
      <c r="D58" s="101" t="s">
        <v>95</v>
      </c>
      <c r="E58" s="102" t="s">
        <v>31</v>
      </c>
      <c r="F58" s="103">
        <v>37654</v>
      </c>
      <c r="G58" s="105" t="s">
        <v>32</v>
      </c>
      <c r="H58" s="104">
        <v>44</v>
      </c>
    </row>
    <row r="59" spans="1:8" ht="18" customHeight="1">
      <c r="A59" s="99">
        <v>54</v>
      </c>
      <c r="B59" s="100">
        <v>48</v>
      </c>
      <c r="C59" s="101" t="s">
        <v>102</v>
      </c>
      <c r="D59" s="101" t="s">
        <v>44</v>
      </c>
      <c r="E59" s="102" t="s">
        <v>31</v>
      </c>
      <c r="F59" s="103">
        <v>38037</v>
      </c>
      <c r="G59" s="105" t="s">
        <v>32</v>
      </c>
      <c r="H59" s="104">
        <v>45</v>
      </c>
    </row>
    <row r="60" spans="1:8" ht="18" customHeight="1">
      <c r="A60" s="99">
        <v>55</v>
      </c>
      <c r="B60" s="100">
        <v>80</v>
      </c>
      <c r="C60" s="101" t="s">
        <v>144</v>
      </c>
      <c r="D60" s="101" t="s">
        <v>143</v>
      </c>
      <c r="E60" s="102" t="s">
        <v>31</v>
      </c>
      <c r="F60" s="103">
        <v>37622</v>
      </c>
      <c r="G60" s="105" t="s">
        <v>32</v>
      </c>
      <c r="H60" s="104">
        <v>46</v>
      </c>
    </row>
    <row r="61" spans="1:8" ht="18" customHeight="1">
      <c r="A61" s="99">
        <v>56</v>
      </c>
      <c r="B61" s="100">
        <v>87</v>
      </c>
      <c r="C61" s="101" t="s">
        <v>152</v>
      </c>
      <c r="D61" s="101" t="s">
        <v>151</v>
      </c>
      <c r="E61" s="102" t="s">
        <v>31</v>
      </c>
      <c r="F61" s="103">
        <v>37967</v>
      </c>
      <c r="G61" s="105" t="s">
        <v>32</v>
      </c>
      <c r="H61" s="104">
        <v>47</v>
      </c>
    </row>
    <row r="62" spans="1:8" ht="18" customHeight="1">
      <c r="A62" s="99">
        <v>57</v>
      </c>
      <c r="B62" s="100">
        <v>33</v>
      </c>
      <c r="C62" s="101" t="s">
        <v>85</v>
      </c>
      <c r="D62" s="101" t="s">
        <v>43</v>
      </c>
      <c r="E62" s="102" t="s">
        <v>31</v>
      </c>
      <c r="F62" s="103">
        <v>37792</v>
      </c>
      <c r="G62" s="105" t="s">
        <v>32</v>
      </c>
      <c r="H62" s="104">
        <v>48</v>
      </c>
    </row>
    <row r="63" spans="1:8" ht="18" customHeight="1">
      <c r="A63" s="99">
        <v>58</v>
      </c>
      <c r="B63" s="100">
        <v>7</v>
      </c>
      <c r="C63" s="101" t="s">
        <v>56</v>
      </c>
      <c r="D63" s="101" t="s">
        <v>54</v>
      </c>
      <c r="E63" s="102" t="s">
        <v>31</v>
      </c>
      <c r="F63" s="103">
        <v>37622</v>
      </c>
      <c r="G63" s="105" t="s">
        <v>32</v>
      </c>
      <c r="H63" s="104">
        <v>49</v>
      </c>
    </row>
    <row r="64" spans="1:8" ht="18" customHeight="1">
      <c r="A64" s="99">
        <v>59</v>
      </c>
      <c r="B64" s="100">
        <v>24</v>
      </c>
      <c r="C64" s="101" t="s">
        <v>75</v>
      </c>
      <c r="D64" s="101" t="s">
        <v>73</v>
      </c>
      <c r="E64" s="102" t="s">
        <v>31</v>
      </c>
      <c r="F64" s="103">
        <v>37979</v>
      </c>
      <c r="G64" s="105" t="s">
        <v>32</v>
      </c>
      <c r="H64" s="104">
        <v>50</v>
      </c>
    </row>
    <row r="65" spans="1:8" ht="18" customHeight="1">
      <c r="A65" s="99">
        <v>60</v>
      </c>
      <c r="B65" s="100">
        <v>93</v>
      </c>
      <c r="C65" s="101" t="s">
        <v>159</v>
      </c>
      <c r="D65" s="101" t="s">
        <v>156</v>
      </c>
      <c r="E65" s="102" t="s">
        <v>31</v>
      </c>
      <c r="F65" s="103">
        <v>37664</v>
      </c>
      <c r="G65" s="105" t="s">
        <v>32</v>
      </c>
      <c r="H65" s="104">
        <v>51</v>
      </c>
    </row>
    <row r="66" spans="1:8" ht="18" customHeight="1">
      <c r="A66" s="99">
        <v>61</v>
      </c>
      <c r="B66" s="100">
        <v>81</v>
      </c>
      <c r="C66" s="101" t="s">
        <v>145</v>
      </c>
      <c r="D66" s="101" t="s">
        <v>143</v>
      </c>
      <c r="E66" s="102" t="s">
        <v>31</v>
      </c>
      <c r="F66" s="103">
        <v>37790</v>
      </c>
      <c r="G66" s="105" t="s">
        <v>32</v>
      </c>
      <c r="H66" s="104">
        <v>52</v>
      </c>
    </row>
    <row r="67" spans="1:8" ht="18" customHeight="1">
      <c r="A67" s="99">
        <v>62</v>
      </c>
      <c r="B67" s="100">
        <v>104</v>
      </c>
      <c r="C67" s="101" t="s">
        <v>191</v>
      </c>
      <c r="D67" s="101" t="s">
        <v>188</v>
      </c>
      <c r="E67" s="102" t="s">
        <v>31</v>
      </c>
      <c r="F67" s="103">
        <v>37786</v>
      </c>
      <c r="G67" s="105" t="s">
        <v>32</v>
      </c>
      <c r="H67" s="104">
        <v>53</v>
      </c>
    </row>
    <row r="68" spans="1:8" ht="18" customHeight="1">
      <c r="A68" s="99">
        <v>63</v>
      </c>
      <c r="B68" s="100">
        <v>20</v>
      </c>
      <c r="C68" s="101" t="s">
        <v>70</v>
      </c>
      <c r="D68" s="101" t="s">
        <v>33</v>
      </c>
      <c r="E68" s="102" t="s">
        <v>31</v>
      </c>
      <c r="F68" s="103">
        <v>37987</v>
      </c>
      <c r="G68" s="105" t="s">
        <v>32</v>
      </c>
      <c r="H68" s="104">
        <v>54</v>
      </c>
    </row>
    <row r="69" spans="1:8" ht="18" customHeight="1">
      <c r="A69" s="99">
        <v>64</v>
      </c>
      <c r="B69" s="100">
        <v>500</v>
      </c>
      <c r="C69" s="101" t="s">
        <v>169</v>
      </c>
      <c r="D69" s="101" t="s">
        <v>170</v>
      </c>
      <c r="E69" s="102" t="s">
        <v>35</v>
      </c>
      <c r="F69" s="103">
        <v>37987</v>
      </c>
      <c r="G69" s="105" t="s">
        <v>32</v>
      </c>
      <c r="H69" s="104">
        <v>54</v>
      </c>
    </row>
    <row r="70" spans="1:8" ht="18" customHeight="1">
      <c r="A70" s="99">
        <v>65</v>
      </c>
      <c r="B70" s="100">
        <v>102</v>
      </c>
      <c r="C70" s="101" t="s">
        <v>189</v>
      </c>
      <c r="D70" s="101" t="s">
        <v>188</v>
      </c>
      <c r="E70" s="102" t="s">
        <v>31</v>
      </c>
      <c r="F70" s="103">
        <v>37873</v>
      </c>
      <c r="G70" s="105" t="s">
        <v>32</v>
      </c>
      <c r="H70" s="104">
        <v>55</v>
      </c>
    </row>
    <row r="71" spans="1:8" ht="18" customHeight="1">
      <c r="A71" s="99">
        <v>66</v>
      </c>
      <c r="B71" s="100">
        <v>15</v>
      </c>
      <c r="C71" s="101" t="s">
        <v>66</v>
      </c>
      <c r="D71" s="101" t="s">
        <v>34</v>
      </c>
      <c r="E71" s="102" t="s">
        <v>31</v>
      </c>
      <c r="F71" s="103">
        <v>38137</v>
      </c>
      <c r="G71" s="105" t="s">
        <v>32</v>
      </c>
      <c r="H71" s="104">
        <v>56</v>
      </c>
    </row>
    <row r="72" spans="1:8" ht="18" customHeight="1">
      <c r="A72" s="99">
        <v>67</v>
      </c>
      <c r="B72" s="100">
        <v>99</v>
      </c>
      <c r="C72" s="101" t="s">
        <v>167</v>
      </c>
      <c r="D72" s="101" t="s">
        <v>166</v>
      </c>
      <c r="E72" s="102" t="s">
        <v>31</v>
      </c>
      <c r="F72" s="103">
        <v>37622</v>
      </c>
      <c r="G72" s="105" t="s">
        <v>32</v>
      </c>
      <c r="H72" s="104">
        <v>57</v>
      </c>
    </row>
    <row r="73" spans="1:8" ht="18" customHeight="1">
      <c r="A73" s="99">
        <v>68</v>
      </c>
      <c r="B73" s="100">
        <v>31</v>
      </c>
      <c r="C73" s="101" t="s">
        <v>83</v>
      </c>
      <c r="D73" s="101" t="s">
        <v>36</v>
      </c>
      <c r="E73" s="102" t="s">
        <v>31</v>
      </c>
      <c r="F73" s="103">
        <v>38111</v>
      </c>
      <c r="G73" s="105" t="s">
        <v>32</v>
      </c>
      <c r="H73" s="104">
        <v>58</v>
      </c>
    </row>
    <row r="74" spans="1:8" ht="18" customHeight="1">
      <c r="A74" s="99">
        <v>69</v>
      </c>
      <c r="B74" s="100">
        <v>74</v>
      </c>
      <c r="C74" s="101" t="s">
        <v>135</v>
      </c>
      <c r="D74" s="101" t="s">
        <v>130</v>
      </c>
      <c r="E74" s="102" t="s">
        <v>31</v>
      </c>
      <c r="F74" s="103" t="s">
        <v>136</v>
      </c>
      <c r="G74" s="105" t="s">
        <v>32</v>
      </c>
      <c r="H74" s="104">
        <v>59</v>
      </c>
    </row>
    <row r="75" spans="1:8" ht="18" customHeight="1">
      <c r="A75" s="99">
        <v>70</v>
      </c>
      <c r="B75" s="100">
        <v>100</v>
      </c>
      <c r="C75" s="101" t="s">
        <v>168</v>
      </c>
      <c r="D75" s="101" t="s">
        <v>166</v>
      </c>
      <c r="E75" s="102" t="s">
        <v>31</v>
      </c>
      <c r="F75" s="103">
        <v>37653</v>
      </c>
      <c r="G75" s="105" t="s">
        <v>32</v>
      </c>
      <c r="H75" s="104">
        <v>60</v>
      </c>
    </row>
    <row r="76" spans="1:8" ht="18" customHeight="1">
      <c r="A76" s="99">
        <v>71</v>
      </c>
      <c r="B76" s="100">
        <v>78</v>
      </c>
      <c r="C76" s="101" t="s">
        <v>141</v>
      </c>
      <c r="D76" s="101" t="s">
        <v>138</v>
      </c>
      <c r="E76" s="102" t="s">
        <v>31</v>
      </c>
      <c r="F76" s="103">
        <v>37622</v>
      </c>
      <c r="G76" s="105" t="s">
        <v>32</v>
      </c>
      <c r="H76" s="104">
        <v>61</v>
      </c>
    </row>
    <row r="77" spans="1:8" ht="18" customHeight="1">
      <c r="A77" s="99">
        <v>72</v>
      </c>
      <c r="B77" s="100">
        <v>503</v>
      </c>
      <c r="C77" s="101" t="s">
        <v>174</v>
      </c>
      <c r="D77" s="101" t="s">
        <v>37</v>
      </c>
      <c r="E77" s="102" t="s">
        <v>35</v>
      </c>
      <c r="F77" s="103">
        <v>37987</v>
      </c>
      <c r="G77" s="105" t="s">
        <v>32</v>
      </c>
      <c r="H77" s="104">
        <v>61</v>
      </c>
    </row>
    <row r="78" spans="1:8" ht="18" customHeight="1">
      <c r="A78" s="99">
        <v>73</v>
      </c>
      <c r="B78" s="100">
        <v>49</v>
      </c>
      <c r="C78" s="101" t="s">
        <v>103</v>
      </c>
      <c r="D78" s="101" t="s">
        <v>44</v>
      </c>
      <c r="E78" s="102" t="s">
        <v>31</v>
      </c>
      <c r="F78" s="103">
        <v>37628</v>
      </c>
      <c r="G78" s="105" t="s">
        <v>32</v>
      </c>
      <c r="H78" s="104">
        <v>62</v>
      </c>
    </row>
    <row r="79" spans="1:8" ht="18" customHeight="1">
      <c r="A79" s="99">
        <v>74</v>
      </c>
      <c r="B79" s="100">
        <v>14</v>
      </c>
      <c r="C79" s="101" t="s">
        <v>65</v>
      </c>
      <c r="D79" s="101" t="s">
        <v>63</v>
      </c>
      <c r="E79" s="102" t="s">
        <v>31</v>
      </c>
      <c r="F79" s="103">
        <v>37857</v>
      </c>
      <c r="G79" s="105" t="s">
        <v>32</v>
      </c>
      <c r="H79" s="104">
        <v>63</v>
      </c>
    </row>
    <row r="80" spans="1:8" ht="18" customHeight="1">
      <c r="A80" s="99">
        <v>75</v>
      </c>
      <c r="B80" s="100">
        <v>6</v>
      </c>
      <c r="C80" s="101" t="s">
        <v>55</v>
      </c>
      <c r="D80" s="101" t="s">
        <v>54</v>
      </c>
      <c r="E80" s="102" t="s">
        <v>31</v>
      </c>
      <c r="F80" s="103">
        <v>37676</v>
      </c>
      <c r="G80" s="105" t="s">
        <v>32</v>
      </c>
      <c r="H80" s="104">
        <v>64</v>
      </c>
    </row>
    <row r="81" spans="1:8" ht="18" customHeight="1">
      <c r="A81" s="99">
        <v>76</v>
      </c>
      <c r="B81" s="100">
        <v>64</v>
      </c>
      <c r="C81" s="101" t="s">
        <v>121</v>
      </c>
      <c r="D81" s="101" t="s">
        <v>122</v>
      </c>
      <c r="E81" s="102" t="s">
        <v>31</v>
      </c>
      <c r="F81" s="103">
        <v>37987</v>
      </c>
      <c r="G81" s="105" t="s">
        <v>32</v>
      </c>
      <c r="H81" s="104">
        <v>65</v>
      </c>
    </row>
    <row r="82" spans="1:8" ht="18" customHeight="1">
      <c r="A82" s="99">
        <v>77</v>
      </c>
      <c r="B82" s="100">
        <v>84</v>
      </c>
      <c r="C82" s="101" t="s">
        <v>148</v>
      </c>
      <c r="D82" s="101" t="s">
        <v>146</v>
      </c>
      <c r="E82" s="102" t="s">
        <v>31</v>
      </c>
      <c r="F82" s="103">
        <v>38307</v>
      </c>
      <c r="G82" s="105" t="s">
        <v>32</v>
      </c>
      <c r="H82" s="104">
        <v>66</v>
      </c>
    </row>
    <row r="83" spans="1:8" ht="18" customHeight="1">
      <c r="A83" s="99">
        <v>78</v>
      </c>
      <c r="B83" s="100">
        <v>3</v>
      </c>
      <c r="C83" s="101" t="s">
        <v>51</v>
      </c>
      <c r="D83" s="101" t="s">
        <v>49</v>
      </c>
      <c r="E83" s="102" t="s">
        <v>31</v>
      </c>
      <c r="F83" s="103">
        <v>38080</v>
      </c>
      <c r="G83" s="105" t="s">
        <v>32</v>
      </c>
      <c r="H83" s="104">
        <v>67</v>
      </c>
    </row>
    <row r="84" spans="1:8" ht="18" customHeight="1">
      <c r="A84" s="99">
        <v>79</v>
      </c>
      <c r="B84" s="100">
        <v>85</v>
      </c>
      <c r="C84" s="101" t="s">
        <v>149</v>
      </c>
      <c r="D84" s="101" t="s">
        <v>146</v>
      </c>
      <c r="E84" s="102" t="s">
        <v>31</v>
      </c>
      <c r="F84" s="103">
        <v>37688</v>
      </c>
      <c r="G84" s="105" t="s">
        <v>32</v>
      </c>
      <c r="H84" s="104">
        <v>68</v>
      </c>
    </row>
    <row r="85" spans="1:8" ht="18" customHeight="1">
      <c r="A85" s="99">
        <v>80</v>
      </c>
      <c r="B85" s="100">
        <v>79</v>
      </c>
      <c r="C85" s="101" t="s">
        <v>142</v>
      </c>
      <c r="D85" s="101" t="s">
        <v>143</v>
      </c>
      <c r="E85" s="102" t="s">
        <v>31</v>
      </c>
      <c r="F85" s="103">
        <v>37649</v>
      </c>
      <c r="G85" s="105" t="s">
        <v>32</v>
      </c>
      <c r="H85" s="104">
        <v>69</v>
      </c>
    </row>
    <row r="86" spans="1:8" ht="18" customHeight="1">
      <c r="A86" s="99">
        <v>81</v>
      </c>
      <c r="B86" s="100">
        <v>35</v>
      </c>
      <c r="C86" s="101" t="s">
        <v>87</v>
      </c>
      <c r="D86" s="101" t="s">
        <v>43</v>
      </c>
      <c r="E86" s="102" t="s">
        <v>31</v>
      </c>
      <c r="F86" s="103">
        <v>37950</v>
      </c>
      <c r="G86" s="105" t="s">
        <v>32</v>
      </c>
      <c r="H86" s="104">
        <v>70</v>
      </c>
    </row>
    <row r="87" spans="1:8" ht="18" customHeight="1">
      <c r="A87" s="99">
        <v>82</v>
      </c>
      <c r="B87" s="100">
        <v>10</v>
      </c>
      <c r="C87" s="101" t="s">
        <v>60</v>
      </c>
      <c r="D87" s="101" t="s">
        <v>58</v>
      </c>
      <c r="E87" s="102" t="s">
        <v>31</v>
      </c>
      <c r="F87" s="103">
        <v>37622</v>
      </c>
      <c r="G87" s="105" t="s">
        <v>32</v>
      </c>
      <c r="H87" s="104">
        <v>71</v>
      </c>
    </row>
    <row r="88" spans="1:8" ht="18" customHeight="1">
      <c r="A88" s="99">
        <v>83</v>
      </c>
      <c r="B88" s="100">
        <v>34</v>
      </c>
      <c r="C88" s="101" t="s">
        <v>86</v>
      </c>
      <c r="D88" s="101" t="s">
        <v>43</v>
      </c>
      <c r="E88" s="102" t="s">
        <v>31</v>
      </c>
      <c r="F88" s="103">
        <v>37825</v>
      </c>
      <c r="G88" s="105" t="s">
        <v>32</v>
      </c>
      <c r="H88" s="104">
        <v>72</v>
      </c>
    </row>
    <row r="89" spans="1:8" ht="18" customHeight="1">
      <c r="A89" s="99">
        <v>84</v>
      </c>
      <c r="B89" s="100">
        <v>36</v>
      </c>
      <c r="C89" s="101" t="s">
        <v>88</v>
      </c>
      <c r="D89" s="101" t="s">
        <v>43</v>
      </c>
      <c r="E89" s="102" t="s">
        <v>31</v>
      </c>
      <c r="F89" s="103">
        <v>37971</v>
      </c>
      <c r="G89" s="105" t="s">
        <v>32</v>
      </c>
      <c r="H89" s="104">
        <v>73</v>
      </c>
    </row>
    <row r="90" spans="1:8" ht="18" customHeight="1">
      <c r="A90" s="99">
        <v>85</v>
      </c>
      <c r="B90" s="100">
        <v>39</v>
      </c>
      <c r="C90" s="101" t="s">
        <v>92</v>
      </c>
      <c r="D90" s="101" t="s">
        <v>90</v>
      </c>
      <c r="E90" s="102" t="s">
        <v>31</v>
      </c>
      <c r="F90" s="103">
        <v>37622</v>
      </c>
      <c r="G90" s="105" t="s">
        <v>32</v>
      </c>
      <c r="H90" s="104">
        <v>74</v>
      </c>
    </row>
    <row r="91" spans="1:8" ht="18" customHeight="1">
      <c r="A91" s="99">
        <v>86</v>
      </c>
      <c r="B91" s="100">
        <v>83</v>
      </c>
      <c r="C91" s="101" t="s">
        <v>147</v>
      </c>
      <c r="D91" s="101" t="s">
        <v>146</v>
      </c>
      <c r="E91" s="102" t="s">
        <v>31</v>
      </c>
      <c r="F91" s="103">
        <v>37801</v>
      </c>
      <c r="G91" s="105" t="s">
        <v>32</v>
      </c>
      <c r="H91" s="104">
        <v>75</v>
      </c>
    </row>
    <row r="92" spans="1:8" ht="18" customHeight="1">
      <c r="A92" s="99">
        <v>87</v>
      </c>
      <c r="B92" s="100">
        <v>65</v>
      </c>
      <c r="C92" s="101" t="s">
        <v>123</v>
      </c>
      <c r="D92" s="101" t="s">
        <v>122</v>
      </c>
      <c r="E92" s="102" t="s">
        <v>31</v>
      </c>
      <c r="F92" s="103">
        <v>38023</v>
      </c>
      <c r="G92" s="105" t="s">
        <v>32</v>
      </c>
      <c r="H92" s="104">
        <v>76</v>
      </c>
    </row>
    <row r="93" spans="1:8" ht="18" customHeight="1">
      <c r="A93" s="99">
        <v>88</v>
      </c>
      <c r="B93" s="100">
        <v>9</v>
      </c>
      <c r="C93" s="101" t="s">
        <v>59</v>
      </c>
      <c r="D93" s="101" t="s">
        <v>58</v>
      </c>
      <c r="E93" s="102" t="s">
        <v>31</v>
      </c>
      <c r="F93" s="103">
        <v>37622</v>
      </c>
      <c r="G93" s="105" t="s">
        <v>32</v>
      </c>
      <c r="H93" s="104">
        <v>77</v>
      </c>
    </row>
    <row r="94" spans="1:8" ht="18" customHeight="1">
      <c r="A94" s="99">
        <v>89</v>
      </c>
      <c r="B94" s="100">
        <v>77</v>
      </c>
      <c r="C94" s="101" t="s">
        <v>140</v>
      </c>
      <c r="D94" s="101" t="s">
        <v>138</v>
      </c>
      <c r="E94" s="102" t="s">
        <v>31</v>
      </c>
      <c r="F94" s="103">
        <v>37622</v>
      </c>
      <c r="G94" s="105" t="s">
        <v>32</v>
      </c>
      <c r="H94" s="104">
        <v>78</v>
      </c>
    </row>
    <row r="95" spans="1:8" ht="18" customHeight="1">
      <c r="A95" s="99">
        <v>90</v>
      </c>
      <c r="B95" s="100">
        <v>75</v>
      </c>
      <c r="C95" s="101" t="s">
        <v>137</v>
      </c>
      <c r="D95" s="101" t="s">
        <v>138</v>
      </c>
      <c r="E95" s="102" t="s">
        <v>31</v>
      </c>
      <c r="F95" s="103">
        <v>37622</v>
      </c>
      <c r="G95" s="105" t="s">
        <v>32</v>
      </c>
      <c r="H95" s="104">
        <v>79</v>
      </c>
    </row>
    <row r="96" spans="1:8" ht="18" customHeight="1">
      <c r="A96" s="99">
        <v>91</v>
      </c>
      <c r="B96" s="100">
        <v>11</v>
      </c>
      <c r="C96" s="101" t="s">
        <v>61</v>
      </c>
      <c r="D96" s="101" t="s">
        <v>58</v>
      </c>
      <c r="E96" s="102" t="s">
        <v>31</v>
      </c>
      <c r="F96" s="103">
        <v>37622</v>
      </c>
      <c r="G96" s="105" t="s">
        <v>32</v>
      </c>
      <c r="H96" s="104">
        <v>80</v>
      </c>
    </row>
    <row r="97" spans="1:8" ht="18" customHeight="1">
      <c r="A97" s="99">
        <v>92</v>
      </c>
      <c r="B97" s="100">
        <v>18</v>
      </c>
      <c r="C97" s="101" t="s">
        <v>68</v>
      </c>
      <c r="D97" s="101" t="s">
        <v>34</v>
      </c>
      <c r="E97" s="102" t="s">
        <v>31</v>
      </c>
      <c r="F97" s="103">
        <v>37677</v>
      </c>
      <c r="G97" s="105" t="s">
        <v>32</v>
      </c>
      <c r="H97" s="104">
        <v>81</v>
      </c>
    </row>
    <row r="98" spans="1:8" ht="18" customHeight="1">
      <c r="A98" s="99">
        <v>93</v>
      </c>
      <c r="B98" s="100">
        <v>70</v>
      </c>
      <c r="C98" s="101" t="s">
        <v>128</v>
      </c>
      <c r="D98" s="101" t="s">
        <v>126</v>
      </c>
      <c r="E98" s="102" t="s">
        <v>31</v>
      </c>
      <c r="F98" s="103">
        <v>37987</v>
      </c>
      <c r="G98" s="105" t="s">
        <v>32</v>
      </c>
      <c r="H98" s="104">
        <v>82</v>
      </c>
    </row>
    <row r="99" spans="1:8" ht="18" customHeight="1">
      <c r="A99" s="99">
        <v>94</v>
      </c>
      <c r="B99" s="100">
        <v>68</v>
      </c>
      <c r="C99" s="101" t="s">
        <v>125</v>
      </c>
      <c r="D99" s="101" t="s">
        <v>126</v>
      </c>
      <c r="E99" s="102" t="s">
        <v>31</v>
      </c>
      <c r="F99" s="103">
        <v>37622</v>
      </c>
      <c r="G99" s="105" t="s">
        <v>32</v>
      </c>
      <c r="H99" s="104">
        <v>83</v>
      </c>
    </row>
    <row r="100" spans="1:8" ht="18" customHeight="1">
      <c r="A100" s="99">
        <v>95</v>
      </c>
      <c r="B100" s="100">
        <v>21</v>
      </c>
      <c r="C100" s="101" t="s">
        <v>71</v>
      </c>
      <c r="D100" s="101" t="s">
        <v>33</v>
      </c>
      <c r="E100" s="102" t="s">
        <v>31</v>
      </c>
      <c r="F100" s="103">
        <v>38051</v>
      </c>
      <c r="G100" s="105" t="s">
        <v>32</v>
      </c>
      <c r="H100" s="104">
        <v>84</v>
      </c>
    </row>
    <row r="101" spans="1:8" ht="18" customHeight="1">
      <c r="A101" s="99" t="s">
        <v>32</v>
      </c>
      <c r="B101" s="100">
        <v>28</v>
      </c>
      <c r="C101" s="101" t="s">
        <v>80</v>
      </c>
      <c r="D101" s="101" t="s">
        <v>77</v>
      </c>
      <c r="E101" s="102" t="s">
        <v>31</v>
      </c>
      <c r="F101" s="103">
        <v>37987</v>
      </c>
      <c r="G101" s="105" t="s">
        <v>193</v>
      </c>
      <c r="H101" s="104" t="s">
        <v>32</v>
      </c>
    </row>
    <row r="102" spans="1:8" ht="18" customHeight="1">
      <c r="A102" s="99" t="s">
        <v>32</v>
      </c>
      <c r="B102" s="100">
        <v>86</v>
      </c>
      <c r="C102" s="101" t="s">
        <v>150</v>
      </c>
      <c r="D102" s="101" t="s">
        <v>151</v>
      </c>
      <c r="E102" s="102" t="s">
        <v>31</v>
      </c>
      <c r="F102" s="103">
        <v>37829</v>
      </c>
      <c r="G102" s="105" t="s">
        <v>193</v>
      </c>
      <c r="H102" s="104" t="s">
        <v>32</v>
      </c>
    </row>
    <row r="103" spans="1:8" ht="18" customHeight="1">
      <c r="A103" s="99" t="s">
        <v>32</v>
      </c>
      <c r="B103" s="100">
        <v>37</v>
      </c>
      <c r="C103" s="101" t="s">
        <v>89</v>
      </c>
      <c r="D103" s="101" t="s">
        <v>90</v>
      </c>
      <c r="E103" s="102" t="s">
        <v>31</v>
      </c>
      <c r="F103" s="103">
        <v>37622</v>
      </c>
      <c r="G103" s="105" t="s">
        <v>193</v>
      </c>
      <c r="H103" s="104" t="s">
        <v>32</v>
      </c>
    </row>
    <row r="104" spans="1:8" ht="18" customHeight="1">
      <c r="A104" s="99" t="s">
        <v>32</v>
      </c>
      <c r="B104" s="100">
        <v>16</v>
      </c>
      <c r="C104" s="101" t="s">
        <v>39</v>
      </c>
      <c r="D104" s="101" t="s">
        <v>34</v>
      </c>
      <c r="E104" s="102" t="s">
        <v>31</v>
      </c>
      <c r="F104" s="103">
        <v>37867</v>
      </c>
      <c r="G104" s="105" t="s">
        <v>193</v>
      </c>
      <c r="H104" s="104" t="s">
        <v>32</v>
      </c>
    </row>
    <row r="105" spans="1:8" ht="18" customHeight="1">
      <c r="A105" s="99" t="s">
        <v>32</v>
      </c>
      <c r="B105" s="100">
        <v>32</v>
      </c>
      <c r="C105" s="101" t="s">
        <v>84</v>
      </c>
      <c r="D105" s="101" t="s">
        <v>36</v>
      </c>
      <c r="E105" s="102" t="s">
        <v>31</v>
      </c>
      <c r="F105" s="103">
        <v>38240</v>
      </c>
      <c r="G105" s="105" t="s">
        <v>193</v>
      </c>
      <c r="H105" s="104" t="s">
        <v>32</v>
      </c>
    </row>
    <row r="106" spans="1:8" ht="18" customHeight="1">
      <c r="A106" s="99" t="s">
        <v>32</v>
      </c>
      <c r="B106" s="100">
        <v>58</v>
      </c>
      <c r="C106" s="101" t="s">
        <v>114</v>
      </c>
      <c r="D106" s="101" t="s">
        <v>112</v>
      </c>
      <c r="E106" s="102" t="s">
        <v>31</v>
      </c>
      <c r="F106" s="103">
        <v>37987</v>
      </c>
      <c r="G106" s="105" t="s">
        <v>193</v>
      </c>
      <c r="H106" s="104" t="s">
        <v>32</v>
      </c>
    </row>
    <row r="107" spans="1:8" ht="18" customHeight="1">
      <c r="A107" s="99" t="s">
        <v>32</v>
      </c>
      <c r="B107" s="100">
        <v>29</v>
      </c>
      <c r="C107" s="101" t="s">
        <v>81</v>
      </c>
      <c r="D107" s="101" t="s">
        <v>36</v>
      </c>
      <c r="E107" s="102" t="s">
        <v>31</v>
      </c>
      <c r="F107" s="103">
        <v>37712</v>
      </c>
      <c r="G107" s="105" t="s">
        <v>193</v>
      </c>
      <c r="H107" s="104" t="s">
        <v>32</v>
      </c>
    </row>
    <row r="108" spans="1:8" ht="18" customHeight="1">
      <c r="A108" s="99" t="s">
        <v>32</v>
      </c>
      <c r="B108" s="100">
        <v>41</v>
      </c>
      <c r="C108" s="101" t="s">
        <v>94</v>
      </c>
      <c r="D108" s="101" t="s">
        <v>95</v>
      </c>
      <c r="E108" s="102" t="s">
        <v>31</v>
      </c>
      <c r="F108" s="103">
        <v>37892</v>
      </c>
      <c r="G108" s="105" t="s">
        <v>193</v>
      </c>
      <c r="H108" s="104" t="s">
        <v>32</v>
      </c>
    </row>
    <row r="109" spans="1:8" ht="18" customHeight="1">
      <c r="A109" s="99" t="s">
        <v>32</v>
      </c>
      <c r="B109" s="100">
        <v>51</v>
      </c>
      <c r="C109" s="101" t="s">
        <v>105</v>
      </c>
      <c r="D109" s="101" t="s">
        <v>44</v>
      </c>
      <c r="E109" s="102" t="s">
        <v>31</v>
      </c>
      <c r="F109" s="103">
        <v>37836</v>
      </c>
      <c r="G109" s="105" t="s">
        <v>193</v>
      </c>
      <c r="H109" s="104" t="s">
        <v>32</v>
      </c>
    </row>
    <row r="110" spans="1:8" ht="18" customHeight="1">
      <c r="A110" s="99" t="s">
        <v>32</v>
      </c>
      <c r="B110" s="100">
        <v>54</v>
      </c>
      <c r="C110" s="101" t="s">
        <v>109</v>
      </c>
      <c r="D110" s="101" t="s">
        <v>107</v>
      </c>
      <c r="E110" s="102" t="s">
        <v>31</v>
      </c>
      <c r="F110" s="103">
        <v>37888</v>
      </c>
      <c r="G110" s="105" t="s">
        <v>193</v>
      </c>
      <c r="H110" s="104" t="s">
        <v>32</v>
      </c>
    </row>
    <row r="111" spans="1:8" ht="18" customHeight="1">
      <c r="A111" s="99" t="s">
        <v>32</v>
      </c>
      <c r="B111" s="100">
        <v>42</v>
      </c>
      <c r="C111" s="101" t="s">
        <v>96</v>
      </c>
      <c r="D111" s="101" t="s">
        <v>95</v>
      </c>
      <c r="E111" s="102" t="s">
        <v>31</v>
      </c>
      <c r="F111" s="103">
        <v>37656</v>
      </c>
      <c r="G111" s="105" t="s">
        <v>193</v>
      </c>
      <c r="H111" s="104" t="s">
        <v>32</v>
      </c>
    </row>
    <row r="112" spans="1:8" ht="18" customHeight="1">
      <c r="A112" s="99" t="s">
        <v>32</v>
      </c>
      <c r="B112" s="100">
        <v>44</v>
      </c>
      <c r="C112" s="101" t="s">
        <v>98</v>
      </c>
      <c r="D112" s="101" t="s">
        <v>95</v>
      </c>
      <c r="E112" s="102" t="s">
        <v>31</v>
      </c>
      <c r="F112" s="103">
        <v>37622</v>
      </c>
      <c r="G112" s="105" t="s">
        <v>193</v>
      </c>
      <c r="H112" s="104" t="s">
        <v>32</v>
      </c>
    </row>
    <row r="113" spans="1:8" ht="18" customHeight="1">
      <c r="A113" s="99" t="s">
        <v>32</v>
      </c>
      <c r="B113" s="100">
        <v>55</v>
      </c>
      <c r="C113" s="101" t="s">
        <v>110</v>
      </c>
      <c r="D113" s="101" t="s">
        <v>107</v>
      </c>
      <c r="E113" s="102" t="s">
        <v>31</v>
      </c>
      <c r="F113" s="103">
        <v>37786</v>
      </c>
      <c r="G113" s="105" t="s">
        <v>193</v>
      </c>
      <c r="H113" s="104" t="s">
        <v>32</v>
      </c>
    </row>
    <row r="114" spans="1:8" ht="18" customHeight="1">
      <c r="A114" s="99" t="s">
        <v>32</v>
      </c>
      <c r="B114" s="100">
        <v>26</v>
      </c>
      <c r="C114" s="101" t="s">
        <v>78</v>
      </c>
      <c r="D114" s="101" t="s">
        <v>77</v>
      </c>
      <c r="E114" s="102" t="s">
        <v>31</v>
      </c>
      <c r="F114" s="103">
        <v>37987</v>
      </c>
      <c r="G114" s="105" t="s">
        <v>193</v>
      </c>
      <c r="H114" s="104" t="s">
        <v>32</v>
      </c>
    </row>
    <row r="115" spans="1:8" ht="18" customHeight="1">
      <c r="A115" s="99" t="s">
        <v>32</v>
      </c>
      <c r="B115" s="100">
        <v>50</v>
      </c>
      <c r="C115" s="101" t="s">
        <v>104</v>
      </c>
      <c r="D115" s="101" t="s">
        <v>44</v>
      </c>
      <c r="E115" s="102" t="s">
        <v>31</v>
      </c>
      <c r="F115" s="103">
        <v>38010</v>
      </c>
      <c r="G115" s="105" t="s">
        <v>193</v>
      </c>
      <c r="H115" s="104" t="s">
        <v>32</v>
      </c>
    </row>
    <row r="116" spans="1:8" ht="18" customHeight="1">
      <c r="A116" s="99" t="s">
        <v>32</v>
      </c>
      <c r="B116" s="100">
        <v>52</v>
      </c>
      <c r="C116" s="101" t="s">
        <v>106</v>
      </c>
      <c r="D116" s="101" t="s">
        <v>107</v>
      </c>
      <c r="E116" s="102" t="s">
        <v>31</v>
      </c>
      <c r="F116" s="103">
        <v>37988</v>
      </c>
      <c r="G116" s="105" t="s">
        <v>193</v>
      </c>
      <c r="H116" s="104" t="s">
        <v>32</v>
      </c>
    </row>
    <row r="117" spans="1:8" ht="18" customHeight="1">
      <c r="A117" s="99" t="s">
        <v>32</v>
      </c>
      <c r="B117" s="100">
        <v>96</v>
      </c>
      <c r="C117" s="101" t="s">
        <v>163</v>
      </c>
      <c r="D117" s="101" t="s">
        <v>161</v>
      </c>
      <c r="E117" s="102" t="s">
        <v>31</v>
      </c>
      <c r="F117" s="103">
        <v>37651</v>
      </c>
      <c r="G117" s="105" t="s">
        <v>194</v>
      </c>
      <c r="H117" s="104" t="s">
        <v>32</v>
      </c>
    </row>
    <row r="118" spans="1:8" ht="18" customHeight="1">
      <c r="A118" s="99" t="s">
        <v>32</v>
      </c>
      <c r="B118" s="100">
        <v>88</v>
      </c>
      <c r="C118" s="101" t="s">
        <v>153</v>
      </c>
      <c r="D118" s="101" t="s">
        <v>151</v>
      </c>
      <c r="E118" s="102" t="s">
        <v>31</v>
      </c>
      <c r="F118" s="103">
        <v>37875</v>
      </c>
      <c r="G118" s="105" t="s">
        <v>192</v>
      </c>
      <c r="H118" s="104" t="s">
        <v>32</v>
      </c>
    </row>
    <row r="119" spans="1:8" ht="18" customHeight="1">
      <c r="A119" s="99" t="s">
        <v>32</v>
      </c>
      <c r="B119" s="100">
        <v>66</v>
      </c>
      <c r="C119" s="101" t="s">
        <v>124</v>
      </c>
      <c r="D119" s="101" t="s">
        <v>122</v>
      </c>
      <c r="E119" s="102" t="s">
        <v>31</v>
      </c>
      <c r="F119" s="103">
        <v>38003</v>
      </c>
      <c r="G119" s="105" t="s">
        <v>192</v>
      </c>
      <c r="H119" s="104" t="s">
        <v>32</v>
      </c>
    </row>
    <row r="120" spans="1:8" ht="18" customHeight="1">
      <c r="A120" s="99" t="s">
        <v>32</v>
      </c>
      <c r="B120" s="100">
        <v>40</v>
      </c>
      <c r="C120" s="101" t="s">
        <v>93</v>
      </c>
      <c r="D120" s="101" t="s">
        <v>90</v>
      </c>
      <c r="E120" s="102" t="s">
        <v>31</v>
      </c>
      <c r="F120" s="103">
        <v>37622</v>
      </c>
      <c r="G120" s="105" t="s">
        <v>192</v>
      </c>
      <c r="H120" s="104" t="s">
        <v>32</v>
      </c>
    </row>
  </sheetData>
  <sheetProtection/>
  <mergeCells count="5">
    <mergeCell ref="A4:C4"/>
    <mergeCell ref="A1:H1"/>
    <mergeCell ref="A2:H2"/>
    <mergeCell ref="A3:H3"/>
    <mergeCell ref="F4:H4"/>
  </mergeCells>
  <conditionalFormatting sqref="H6:H120">
    <cfRule type="containsText" priority="4" dxfId="19" operator="containsText" stopIfTrue="1" text="$E$7=&quot;&quot;F&quot;&quot;">
      <formula>NOT(ISERROR(SEARCH("$E$7=""F""",H6)))</formula>
    </cfRule>
    <cfRule type="containsText" priority="6" dxfId="19" operator="containsText" stopIfTrue="1" text="F=E7">
      <formula>NOT(ISERROR(SEARCH("F=E7",H6)))</formula>
    </cfRule>
  </conditionalFormatting>
  <conditionalFormatting sqref="B6:B117">
    <cfRule type="duplicateValues" priority="1" dxfId="19" stopIfTrue="1">
      <formula>AND(COUNTIF($B$6:$B$117,B6)&gt;1,NOT(ISBLANK(B6)))</formula>
    </cfRule>
    <cfRule type="duplicateValues" priority="2" dxfId="19" stopIfTrue="1">
      <formula>AND(COUNTIF($B$6:$B$117,B6)&gt;1,NOT(ISBLANK(B6)))</formula>
    </cfRule>
  </conditionalFormatting>
  <conditionalFormatting sqref="B6:B120">
    <cfRule type="duplicateValues" priority="182" dxfId="19" stopIfTrue="1">
      <formula>AND(COUNTIF($B$6:$B$120,B6)&gt;1,NOT(ISBLANK(B6)))</formula>
    </cfRule>
  </conditionalFormatting>
  <printOptions horizontalCentered="1"/>
  <pageMargins left="0.6692913385826772" right="0.2362204724409449" top="0.4724409448818898" bottom="0.3937007874015748" header="0.3937007874015748" footer="0.2755905511811024"/>
  <pageSetup horizontalDpi="300" verticalDpi="300" orientation="portrait" paperSize="9" scale="90" r:id="rId2"/>
  <headerFooter alignWithMargins="0">
    <oddFooter>&amp;C&amp;P</oddFooter>
  </headerFooter>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B245"/>
  <sheetViews>
    <sheetView view="pageBreakPreview" zoomScaleSheetLayoutView="100" zoomScalePageLayoutView="0" workbookViewId="0" topLeftCell="A112">
      <selection activeCell="M124" sqref="M124"/>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110"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11.00390625" style="29" customWidth="1"/>
    <col min="54" max="16384" width="9.125" style="21" customWidth="1"/>
  </cols>
  <sheetData>
    <row r="1" spans="1:53" s="1" customFormat="1" ht="30" customHeight="1">
      <c r="A1" s="194" t="str">
        <f>KAPAK!A2</f>
        <v>Türkiye Atletizm Federasyonu
Ankara Atletizm İl Temsilciliği</v>
      </c>
      <c r="B1" s="194"/>
      <c r="C1" s="194"/>
      <c r="D1" s="194"/>
      <c r="E1" s="194"/>
      <c r="F1" s="194"/>
      <c r="G1" s="194"/>
      <c r="H1" s="194"/>
      <c r="I1" s="194"/>
      <c r="J1" s="194"/>
      <c r="BA1" s="2"/>
    </row>
    <row r="2" spans="1:53" s="143" customFormat="1" ht="22.5" customHeight="1">
      <c r="A2" s="195" t="str">
        <f>KAPAK!B25</f>
        <v>Atatürk'ü Anma Kros Yarışmaları</v>
      </c>
      <c r="B2" s="195"/>
      <c r="C2" s="195"/>
      <c r="D2" s="195"/>
      <c r="E2" s="195"/>
      <c r="F2" s="195"/>
      <c r="G2" s="195"/>
      <c r="H2" s="195"/>
      <c r="I2" s="195"/>
      <c r="J2" s="195"/>
      <c r="BA2" s="144"/>
    </row>
    <row r="3" spans="1:53" s="1" customFormat="1" ht="18.75" customHeight="1">
      <c r="A3" s="196" t="str">
        <f>KAPAK!B28</f>
        <v>Ankara</v>
      </c>
      <c r="B3" s="196"/>
      <c r="C3" s="196"/>
      <c r="D3" s="196"/>
      <c r="E3" s="196"/>
      <c r="F3" s="196"/>
      <c r="G3" s="196"/>
      <c r="H3" s="196"/>
      <c r="I3" s="196"/>
      <c r="J3" s="196"/>
      <c r="BA3" s="2"/>
    </row>
    <row r="4" spans="1:53" s="111" customFormat="1" ht="18" customHeight="1">
      <c r="A4" s="197" t="str">
        <f>KAPAK!B27</f>
        <v>Küçük Erkek</v>
      </c>
      <c r="B4" s="197"/>
      <c r="C4" s="198" t="str">
        <f>KAPAK!B26</f>
        <v>2 Km.</v>
      </c>
      <c r="D4" s="198"/>
      <c r="E4" s="199">
        <f>KAPAK!B29</f>
        <v>41953.40625</v>
      </c>
      <c r="F4" s="199"/>
      <c r="G4" s="199"/>
      <c r="H4" s="199"/>
      <c r="I4" s="199"/>
      <c r="J4" s="199"/>
      <c r="BA4" s="112"/>
    </row>
    <row r="5" spans="1:53" s="4" customFormat="1" ht="26.25" customHeight="1">
      <c r="A5" s="146" t="s">
        <v>5</v>
      </c>
      <c r="B5" s="147" t="s">
        <v>29</v>
      </c>
      <c r="C5" s="148" t="s">
        <v>1</v>
      </c>
      <c r="D5" s="147" t="s">
        <v>3</v>
      </c>
      <c r="E5" s="147" t="s">
        <v>8</v>
      </c>
      <c r="F5" s="149" t="s">
        <v>7</v>
      </c>
      <c r="G5" s="147" t="s">
        <v>9</v>
      </c>
      <c r="H5" s="147" t="s">
        <v>15</v>
      </c>
      <c r="I5" s="150" t="s">
        <v>14</v>
      </c>
      <c r="J5" s="147" t="s">
        <v>6</v>
      </c>
      <c r="K5" s="3"/>
      <c r="L5" s="3"/>
      <c r="M5" s="3"/>
      <c r="N5" s="3"/>
      <c r="BA5" s="5"/>
    </row>
    <row r="6" spans="1:54" s="1" customFormat="1" ht="15" customHeight="1">
      <c r="A6" s="6"/>
      <c r="B6" s="7"/>
      <c r="C6" s="140">
        <v>1</v>
      </c>
      <c r="D6" s="8" t="str">
        <f>IF(ISERROR(VLOOKUP($C6,'START LİSTE'!$B$6:$F$1027,2,0)),"",VLOOKUP($C6,'START LİSTE'!$B$6:$F$1027,2,0))</f>
        <v>FATİH YAĞMUR</v>
      </c>
      <c r="E6" s="9" t="str">
        <f>IF(ISERROR(VLOOKUP($C6,'START LİSTE'!$B$6:$F$1027,4,0)),"",VLOOKUP($C6,'START LİSTE'!$B$6:$F$1027,4,0))</f>
        <v>T</v>
      </c>
      <c r="F6" s="107">
        <f>IF(ISERROR(VLOOKUP($C6,'FERDİ SONUÇ'!$B$6:$H$862,6,0)),"",VLOOKUP($C6,'FERDİ SONUÇ'!$B$6:$H$862,6,0))</f>
        <v>648</v>
      </c>
      <c r="G6" s="10">
        <f>IF(OR(E6="",F6="DQ",F6="DNF",F6="DNS",F6=""),"-",VLOOKUP(C6,'FERDİ SONUÇ'!$B$6:$H$862,7,0))</f>
        <v>6</v>
      </c>
      <c r="H6" s="10">
        <f>IF(OR(E6="",E6="F",F6="DQ",F6="DNF",F6="DNS",F6=""),"-",VLOOKUP(C6,'FERDİ SONUÇ'!$B$6:$H$862,7,0))</f>
        <v>6</v>
      </c>
      <c r="I6" s="11">
        <f>IF(ISERROR(SMALL(H6:H9,1)),"-",SMALL(H6:H9,1))</f>
        <v>6</v>
      </c>
      <c r="J6" s="12"/>
      <c r="K6" s="3"/>
      <c r="BA6" s="2">
        <v>1000</v>
      </c>
      <c r="BB6" s="50"/>
    </row>
    <row r="7" spans="1:54" s="1" customFormat="1" ht="15" customHeight="1">
      <c r="A7" s="13"/>
      <c r="B7" s="14"/>
      <c r="C7" s="141">
        <v>2</v>
      </c>
      <c r="D7" s="15" t="str">
        <f>IF(ISERROR(VLOOKUP($C7,'START LİSTE'!$B$6:$F$1027,2,0)),"",VLOOKUP($C7,'START LİSTE'!$B$6:$F$1027,2,0))</f>
        <v>OKTAY BOZTEPE</v>
      </c>
      <c r="E7" s="16" t="str">
        <f>IF(ISERROR(VLOOKUP($C7,'START LİSTE'!$B$6:$F$1027,4,0)),"",VLOOKUP($C7,'START LİSTE'!$B$6:$F$1027,4,0))</f>
        <v>T</v>
      </c>
      <c r="F7" s="108">
        <f>IF(ISERROR(VLOOKUP($C7,'FERDİ SONUÇ'!$B$6:$H$862,6,0)),"",VLOOKUP($C7,'FERDİ SONUÇ'!$B$6:$H$862,6,0))</f>
        <v>710</v>
      </c>
      <c r="G7" s="17">
        <f>IF(OR(E7="",F7="DQ",F7="DNF",F7="DNS",F7=""),"-",VLOOKUP(C7,'FERDİ SONUÇ'!$B$6:$H$862,7,0))</f>
        <v>13</v>
      </c>
      <c r="H7" s="17">
        <f>IF(OR(E7="",E7="F",F7="DQ",F7="DNF",F7="DNS",F7=""),"-",VLOOKUP(C7,'FERDİ SONUÇ'!$B$6:$H$862,7,0))</f>
        <v>13</v>
      </c>
      <c r="I7" s="18">
        <f>IF(ISERROR(SMALL(H6:H9,2)),"-",SMALL(H6:H9,2))</f>
        <v>13</v>
      </c>
      <c r="J7" s="19"/>
      <c r="K7" s="3"/>
      <c r="BA7" s="2">
        <v>1001</v>
      </c>
      <c r="BB7" s="51"/>
    </row>
    <row r="8" spans="1:54" s="1" customFormat="1" ht="15" customHeight="1">
      <c r="A8" s="30">
        <f>IF(AND(B8&lt;&gt;"",J8&lt;&gt;"DQ"),COUNT(J$6:J$245)-(RANK(J8,J$6:J$245)+COUNTIF(J$6:J8,J8))+2,IF(C6&lt;&gt;"",BA8,""))</f>
        <v>4</v>
      </c>
      <c r="B8" s="14" t="str">
        <f>IF(ISERROR(VLOOKUP(C6,'START LİSTE'!$B$6:$F$1027,3,0)),"",VLOOKUP(C6,'START LİSTE'!$B$6:$F$1027,3,0))</f>
        <v>AĞRI</v>
      </c>
      <c r="C8" s="141">
        <v>3</v>
      </c>
      <c r="D8" s="15" t="str">
        <f>IF(ISERROR(VLOOKUP($C8,'START LİSTE'!$B$6:$F$1027,2,0)),"",VLOOKUP($C8,'START LİSTE'!$B$6:$F$1027,2,0))</f>
        <v>CANER TAŞ</v>
      </c>
      <c r="E8" s="16" t="str">
        <f>IF(ISERROR(VLOOKUP($C8,'START LİSTE'!$B$6:$F$1027,4,0)),"",VLOOKUP($C8,'START LİSTE'!$B$6:$F$1027,4,0))</f>
        <v>T</v>
      </c>
      <c r="F8" s="108" t="str">
        <f>IF(ISERROR(VLOOKUP($C8,'FERDİ SONUÇ'!$B$6:$H$862,6,0)),"",VLOOKUP($C8,'FERDİ SONUÇ'!$B$6:$H$862,6,0))</f>
        <v>-</v>
      </c>
      <c r="G8" s="17">
        <f>IF(OR(E8="",F8="DQ",F8="DNF",F8="DNS",F8=""),"-",VLOOKUP(C8,'FERDİ SONUÇ'!$B$6:$H$862,7,0))</f>
        <v>67</v>
      </c>
      <c r="H8" s="17">
        <f>IF(OR(E8="",E8="F",F8="DQ",F8="DNF",F8="DNS",F8=""),"-",VLOOKUP(C8,'FERDİ SONUÇ'!$B$6:$H$862,7,0))</f>
        <v>67</v>
      </c>
      <c r="I8" s="18">
        <f>IF(ISERROR(SMALL(H6:H9,3)),"-",SMALL(H6:H9,3))</f>
        <v>41</v>
      </c>
      <c r="J8" s="20">
        <f>IF(C6="","",IF(OR(I6="-",I7="-",I8="-"),"DQ",SUM(I6,I7,I8)))</f>
        <v>60</v>
      </c>
      <c r="K8" s="3"/>
      <c r="BA8" s="2">
        <v>1002</v>
      </c>
      <c r="BB8" s="51"/>
    </row>
    <row r="9" spans="1:54" s="1" customFormat="1" ht="15" customHeight="1">
      <c r="A9" s="13"/>
      <c r="B9" s="14"/>
      <c r="C9" s="141">
        <v>4</v>
      </c>
      <c r="D9" s="15" t="str">
        <f>IF(ISERROR(VLOOKUP($C9,'START LİSTE'!$B$6:$F$1027,2,0)),"",VLOOKUP($C9,'START LİSTE'!$B$6:$F$1027,2,0))</f>
        <v>AZAT TAŞDEMİR</v>
      </c>
      <c r="E9" s="16" t="str">
        <f>IF(ISERROR(VLOOKUP($C9,'START LİSTE'!$B$6:$F$1027,4,0)),"",VLOOKUP($C9,'START LİSTE'!$B$6:$F$1027,4,0))</f>
        <v>T</v>
      </c>
      <c r="F9" s="108" t="str">
        <f>IF(ISERROR(VLOOKUP($C9,'FERDİ SONUÇ'!$B$6:$H$862,6,0)),"",VLOOKUP($C9,'FERDİ SONUÇ'!$B$6:$H$862,6,0))</f>
        <v>-</v>
      </c>
      <c r="G9" s="17">
        <f>IF(OR(E9="",F9="DQ",F9="DNF",F9="DNS",F9=""),"-",VLOOKUP(C9,'FERDİ SONUÇ'!$B$6:$H$862,7,0))</f>
        <v>41</v>
      </c>
      <c r="H9" s="17">
        <f>IF(OR(E9="",E9="F",F9="DQ",F9="DNF",F9="DNS",F9=""),"-",VLOOKUP(C9,'FERDİ SONUÇ'!$B$6:$H$862,7,0))</f>
        <v>41</v>
      </c>
      <c r="I9" s="18">
        <f>IF(ISERROR(SMALL(H6:H9,4)),"-",SMALL(H6:H9,4))</f>
        <v>67</v>
      </c>
      <c r="J9" s="19"/>
      <c r="K9" s="3"/>
      <c r="BA9" s="2">
        <v>1003</v>
      </c>
      <c r="BB9" s="52"/>
    </row>
    <row r="10" spans="1:54" ht="15" customHeight="1">
      <c r="A10" s="6"/>
      <c r="B10" s="7"/>
      <c r="C10" s="140">
        <v>5</v>
      </c>
      <c r="D10" s="8" t="str">
        <f>IF(ISERROR(VLOOKUP($C10,'START LİSTE'!$B$6:$F$1027,2,0)),"",VLOOKUP($C10,'START LİSTE'!$B$6:$F$1027,2,0))</f>
        <v>NEJDET DİKER</v>
      </c>
      <c r="E10" s="9" t="str">
        <f>IF(ISERROR(VLOOKUP($C10,'START LİSTE'!$B$6:$F$1027,4,0)),"",VLOOKUP($C10,'START LİSTE'!$B$6:$F$1027,4,0))</f>
        <v>T</v>
      </c>
      <c r="F10" s="107">
        <f>IF(ISERROR(VLOOKUP($C10,'FERDİ SONUÇ'!$B$6:$H$862,6,0)),"",VLOOKUP($C10,'FERDİ SONUÇ'!$B$6:$H$862,6,0))</f>
        <v>713</v>
      </c>
      <c r="G10" s="10">
        <f>IF(OR(E10="",F10="DQ",F10="DNF",F10="DNS",F10=""),"-",VLOOKUP(C10,'FERDİ SONUÇ'!$B$6:$H$862,7,0))</f>
        <v>16</v>
      </c>
      <c r="H10" s="10">
        <f>IF(OR(E10="",E10="F",F10="DQ",F10="DNF",F10="DNS",F10=""),"-",VLOOKUP(C10,'FERDİ SONUÇ'!$B$6:$H$862,7,0))</f>
        <v>16</v>
      </c>
      <c r="I10" s="11">
        <f>IF(ISERROR(SMALL(H10:H13,1)),"-",SMALL(H10:H13,1))</f>
        <v>16</v>
      </c>
      <c r="J10" s="12"/>
      <c r="BA10" s="2">
        <v>1006</v>
      </c>
      <c r="BB10" s="50"/>
    </row>
    <row r="11" spans="1:54" ht="15" customHeight="1">
      <c r="A11" s="13"/>
      <c r="B11" s="14"/>
      <c r="C11" s="141">
        <v>6</v>
      </c>
      <c r="D11" s="15" t="str">
        <f>IF(ISERROR(VLOOKUP($C11,'START LİSTE'!$B$6:$F$1027,2,0)),"",VLOOKUP($C11,'START LİSTE'!$B$6:$F$1027,2,0))</f>
        <v>MERT MUSA DİKER</v>
      </c>
      <c r="E11" s="16" t="str">
        <f>IF(ISERROR(VLOOKUP($C11,'START LİSTE'!$B$6:$F$1027,4,0)),"",VLOOKUP($C11,'START LİSTE'!$B$6:$F$1027,4,0))</f>
        <v>T</v>
      </c>
      <c r="F11" s="108" t="str">
        <f>IF(ISERROR(VLOOKUP($C11,'FERDİ SONUÇ'!$B$6:$H$862,6,0)),"",VLOOKUP($C11,'FERDİ SONUÇ'!$B$6:$H$862,6,0))</f>
        <v>-</v>
      </c>
      <c r="G11" s="17">
        <f>IF(OR(E11="",F11="DQ",F11="DNF",F11="DNS",F11=""),"-",VLOOKUP(C11,'FERDİ SONUÇ'!$B$6:$H$862,7,0))</f>
        <v>64</v>
      </c>
      <c r="H11" s="17">
        <f>IF(OR(E11="",E11="F",F11="DQ",F11="DNF",F11="DNS",F11=""),"-",VLOOKUP(C11,'FERDİ SONUÇ'!$B$6:$H$862,7,0))</f>
        <v>64</v>
      </c>
      <c r="I11" s="18">
        <f>IF(ISERROR(SMALL(H10:H13,2)),"-",SMALL(H10:H13,2))</f>
        <v>49</v>
      </c>
      <c r="J11" s="19"/>
      <c r="BA11" s="2">
        <v>1007</v>
      </c>
      <c r="BB11" s="51"/>
    </row>
    <row r="12" spans="1:54" ht="15" customHeight="1">
      <c r="A12" s="30">
        <f>IF(AND(B12&lt;&gt;"",J12&lt;&gt;"DQ"),COUNT(J$6:J$245)-(RANK(J12,J$6:J$245)+COUNTIF(J$6:J12,J12))+2,IF(C10&lt;&gt;"",BA12,""))</f>
        <v>9</v>
      </c>
      <c r="B12" s="14" t="str">
        <f>IF(ISERROR(VLOOKUP(C10,'START LİSTE'!$B$6:$F$1027,3,0)),"",VLOOKUP(C10,'START LİSTE'!$B$6:$F$1027,3,0))</f>
        <v>AKSARAY</v>
      </c>
      <c r="C12" s="141">
        <v>7</v>
      </c>
      <c r="D12" s="15" t="str">
        <f>IF(ISERROR(VLOOKUP($C12,'START LİSTE'!$B$6:$F$1027,2,0)),"",VLOOKUP($C12,'START LİSTE'!$B$6:$F$1027,2,0))</f>
        <v>ALİ ÖZKARA</v>
      </c>
      <c r="E12" s="16" t="str">
        <f>IF(ISERROR(VLOOKUP($C12,'START LİSTE'!$B$6:$F$1027,4,0)),"",VLOOKUP($C12,'START LİSTE'!$B$6:$F$1027,4,0))</f>
        <v>T</v>
      </c>
      <c r="F12" s="108" t="str">
        <f>IF(ISERROR(VLOOKUP($C12,'FERDİ SONUÇ'!$B$6:$H$862,6,0)),"",VLOOKUP($C12,'FERDİ SONUÇ'!$B$6:$H$862,6,0))</f>
        <v>-</v>
      </c>
      <c r="G12" s="17">
        <f>IF(OR(E12="",F12="DQ",F12="DNF",F12="DNS",F12=""),"-",VLOOKUP(C12,'FERDİ SONUÇ'!$B$6:$H$862,7,0))</f>
        <v>49</v>
      </c>
      <c r="H12" s="17">
        <f>IF(OR(E12="",E12="F",F12="DQ",F12="DNF",F12="DNS",F12=""),"-",VLOOKUP(C12,'FERDİ SONUÇ'!$B$6:$H$862,7,0))</f>
        <v>49</v>
      </c>
      <c r="I12" s="18">
        <f>IF(ISERROR(SMALL(H10:H13,3)),"-",SMALL(H10:H13,3))</f>
        <v>64</v>
      </c>
      <c r="J12" s="20">
        <f>IF(C10="","",IF(OR(I10="-",I11="-",I12="-"),"DQ",SUM(I10,I11,I12)))</f>
        <v>129</v>
      </c>
      <c r="BA12" s="2">
        <v>1008</v>
      </c>
      <c r="BB12" s="51"/>
    </row>
    <row r="13" spans="1:54" ht="15" customHeight="1">
      <c r="A13" s="13"/>
      <c r="B13" s="14"/>
      <c r="C13" s="141" t="s">
        <v>32</v>
      </c>
      <c r="D13" s="15" t="str">
        <f>IF(ISERROR(VLOOKUP($C13,'START LİSTE'!$B$6:$F$1027,2,0)),"",VLOOKUP($C13,'START LİSTE'!$B$6:$F$1027,2,0))</f>
        <v>-</v>
      </c>
      <c r="E13" s="16" t="str">
        <f>IF(ISERROR(VLOOKUP($C13,'START LİSTE'!$B$6:$F$1027,4,0)),"",VLOOKUP($C13,'START LİSTE'!$B$6:$F$1027,4,0))</f>
        <v>T</v>
      </c>
      <c r="F13" s="108">
        <f>IF(ISERROR(VLOOKUP($C13,'FERDİ SONUÇ'!$B$6:$H$862,6,0)),"",VLOOKUP($C13,'FERDİ SONUÇ'!$B$6:$H$862,6,0))</f>
      </c>
      <c r="G13" s="17" t="str">
        <f>IF(OR(E13="",F13="DQ",F13="DNF",F13="DNS",F13=""),"-",VLOOKUP(C13,'FERDİ SONUÇ'!$B$6:$H$862,7,0))</f>
        <v>-</v>
      </c>
      <c r="H13" s="17" t="str">
        <f>IF(OR(E13="",E13="F",F13="DQ",F13="DNF",F13="DNS",F13=""),"-",VLOOKUP(C13,'FERDİ SONUÇ'!$B$6:$H$862,7,0))</f>
        <v>-</v>
      </c>
      <c r="I13" s="18" t="str">
        <f>IF(ISERROR(SMALL(H10:H13,4)),"-",SMALL(H10:H13,4))</f>
        <v>-</v>
      </c>
      <c r="J13" s="19"/>
      <c r="BA13" s="2">
        <v>1009</v>
      </c>
      <c r="BB13" s="52"/>
    </row>
    <row r="14" spans="1:54" ht="15" customHeight="1">
      <c r="A14" s="6"/>
      <c r="B14" s="7"/>
      <c r="C14" s="140">
        <v>8</v>
      </c>
      <c r="D14" s="8" t="str">
        <f>IF(ISERROR(VLOOKUP($C14,'START LİSTE'!$B$6:$F$1027,2,0)),"",VLOOKUP($C14,'START LİSTE'!$B$6:$F$1027,2,0))</f>
        <v>YAKUP YETİKER</v>
      </c>
      <c r="E14" s="9" t="str">
        <f>IF(ISERROR(VLOOKUP($C14,'START LİSTE'!$B$6:$F$1027,4,0)),"",VLOOKUP($C14,'START LİSTE'!$B$6:$F$1027,4,0))</f>
        <v>T</v>
      </c>
      <c r="F14" s="107" t="str">
        <f>IF(ISERROR(VLOOKUP($C14,'FERDİ SONUÇ'!$B$6:$H$862,6,0)),"",VLOOKUP($C14,'FERDİ SONUÇ'!$B$6:$H$862,6,0))</f>
        <v>-</v>
      </c>
      <c r="G14" s="10">
        <f>IF(OR(E14="",F14="DQ",F14="DNF",F14="DNS",F14=""),"-",VLOOKUP(C14,'FERDİ SONUÇ'!$B$6:$H$862,7,0))</f>
        <v>43</v>
      </c>
      <c r="H14" s="10">
        <f>IF(OR(E14="",E14="F",F14="DQ",F14="DNF",F14="DNS",F14=""),"-",VLOOKUP(C14,'FERDİ SONUÇ'!$B$6:$H$862,7,0))</f>
        <v>43</v>
      </c>
      <c r="I14" s="11">
        <f>IF(ISERROR(SMALL(H14:H17,1)),"-",SMALL(H14:H17,1))</f>
        <v>43</v>
      </c>
      <c r="J14" s="12"/>
      <c r="BA14" s="2">
        <v>1012</v>
      </c>
      <c r="BB14" s="50"/>
    </row>
    <row r="15" spans="1:54" ht="15" customHeight="1">
      <c r="A15" s="13"/>
      <c r="B15" s="14"/>
      <c r="C15" s="141">
        <v>9</v>
      </c>
      <c r="D15" s="15" t="str">
        <f>IF(ISERROR(VLOOKUP($C15,'START LİSTE'!$B$6:$F$1027,2,0)),"",VLOOKUP($C15,'START LİSTE'!$B$6:$F$1027,2,0))</f>
        <v>ALPEREN ÖZDEMİR</v>
      </c>
      <c r="E15" s="16" t="str">
        <f>IF(ISERROR(VLOOKUP($C15,'START LİSTE'!$B$6:$F$1027,4,0)),"",VLOOKUP($C15,'START LİSTE'!$B$6:$F$1027,4,0))</f>
        <v>T</v>
      </c>
      <c r="F15" s="108" t="str">
        <f>IF(ISERROR(VLOOKUP($C15,'FERDİ SONUÇ'!$B$6:$H$862,6,0)),"",VLOOKUP($C15,'FERDİ SONUÇ'!$B$6:$H$862,6,0))</f>
        <v>-</v>
      </c>
      <c r="G15" s="17">
        <f>IF(OR(E15="",F15="DQ",F15="DNF",F15="DNS",F15=""),"-",VLOOKUP(C15,'FERDİ SONUÇ'!$B$6:$H$862,7,0))</f>
        <v>77</v>
      </c>
      <c r="H15" s="17">
        <f>IF(OR(E15="",E15="F",F15="DQ",F15="DNF",F15="DNS",F15=""),"-",VLOOKUP(C15,'FERDİ SONUÇ'!$B$6:$H$862,7,0))</f>
        <v>77</v>
      </c>
      <c r="I15" s="18">
        <f>IF(ISERROR(SMALL(H14:H17,2)),"-",SMALL(H14:H17,2))</f>
        <v>71</v>
      </c>
      <c r="J15" s="19"/>
      <c r="BA15" s="2">
        <v>1013</v>
      </c>
      <c r="BB15" s="51"/>
    </row>
    <row r="16" spans="1:54" ht="15" customHeight="1">
      <c r="A16" s="30">
        <f>IF(AND(B16&lt;&gt;"",J16&lt;&gt;"DQ"),COUNT(J$6:J$245)-(RANK(J16,J$6:J$245)+COUNTIF(J$6:J16,J16))+2,IF(C14&lt;&gt;"",BA16,""))</f>
        <v>21</v>
      </c>
      <c r="B16" s="14" t="str">
        <f>IF(ISERROR(VLOOKUP(C14,'START LİSTE'!$B$6:$F$1027,3,0)),"",VLOOKUP(C14,'START LİSTE'!$B$6:$F$1027,3,0))</f>
        <v>ANKARA İL KARMASI</v>
      </c>
      <c r="C16" s="141">
        <v>10</v>
      </c>
      <c r="D16" s="15" t="str">
        <f>IF(ISERROR(VLOOKUP($C16,'START LİSTE'!$B$6:$F$1027,2,0)),"",VLOOKUP($C16,'START LİSTE'!$B$6:$F$1027,2,0))</f>
        <v>YUSUF CAPAR</v>
      </c>
      <c r="E16" s="16" t="str">
        <f>IF(ISERROR(VLOOKUP($C16,'START LİSTE'!$B$6:$F$1027,4,0)),"",VLOOKUP($C16,'START LİSTE'!$B$6:$F$1027,4,0))</f>
        <v>T</v>
      </c>
      <c r="F16" s="108" t="str">
        <f>IF(ISERROR(VLOOKUP($C16,'FERDİ SONUÇ'!$B$6:$H$862,6,0)),"",VLOOKUP($C16,'FERDİ SONUÇ'!$B$6:$H$862,6,0))</f>
        <v>-</v>
      </c>
      <c r="G16" s="17">
        <f>IF(OR(E16="",F16="DQ",F16="DNF",F16="DNS",F16=""),"-",VLOOKUP(C16,'FERDİ SONUÇ'!$B$6:$H$862,7,0))</f>
        <v>71</v>
      </c>
      <c r="H16" s="17">
        <f>IF(OR(E16="",E16="F",F16="DQ",F16="DNF",F16="DNS",F16=""),"-",VLOOKUP(C16,'FERDİ SONUÇ'!$B$6:$H$862,7,0))</f>
        <v>71</v>
      </c>
      <c r="I16" s="18">
        <f>IF(ISERROR(SMALL(H14:H17,3)),"-",SMALL(H14:H17,3))</f>
        <v>77</v>
      </c>
      <c r="J16" s="20">
        <f>IF(C14="","",IF(OR(I14="-",I15="-",I16="-"),"DQ",SUM(I14,I15,I16)))</f>
        <v>191</v>
      </c>
      <c r="BA16" s="2">
        <v>1014</v>
      </c>
      <c r="BB16" s="51"/>
    </row>
    <row r="17" spans="1:54" ht="15" customHeight="1">
      <c r="A17" s="13"/>
      <c r="B17" s="14"/>
      <c r="C17" s="141">
        <v>11</v>
      </c>
      <c r="D17" s="15" t="str">
        <f>IF(ISERROR(VLOOKUP($C17,'START LİSTE'!$B$6:$F$1027,2,0)),"",VLOOKUP($C17,'START LİSTE'!$B$6:$F$1027,2,0))</f>
        <v>YİĞİT GÖKMEN</v>
      </c>
      <c r="E17" s="16" t="str">
        <f>IF(ISERROR(VLOOKUP($C17,'START LİSTE'!$B$6:$F$1027,4,0)),"",VLOOKUP($C17,'START LİSTE'!$B$6:$F$1027,4,0))</f>
        <v>T</v>
      </c>
      <c r="F17" s="108" t="str">
        <f>IF(ISERROR(VLOOKUP($C17,'FERDİ SONUÇ'!$B$6:$H$862,6,0)),"",VLOOKUP($C17,'FERDİ SONUÇ'!$B$6:$H$862,6,0))</f>
        <v>-</v>
      </c>
      <c r="G17" s="17">
        <f>IF(OR(E17="",F17="DQ",F17="DNF",F17="DNS",F17=""),"-",VLOOKUP(C17,'FERDİ SONUÇ'!$B$6:$H$862,7,0))</f>
        <v>80</v>
      </c>
      <c r="H17" s="17">
        <f>IF(OR(E17="",E17="F",F17="DQ",F17="DNF",F17="DNS",F17=""),"-",VLOOKUP(C17,'FERDİ SONUÇ'!$B$6:$H$862,7,0))</f>
        <v>80</v>
      </c>
      <c r="I17" s="18">
        <f>IF(ISERROR(SMALL(H14:H17,4)),"-",SMALL(H14:H17,4))</f>
        <v>80</v>
      </c>
      <c r="J17" s="19"/>
      <c r="BA17" s="2">
        <v>1015</v>
      </c>
      <c r="BB17" s="52"/>
    </row>
    <row r="18" spans="1:54" ht="15" customHeight="1">
      <c r="A18" s="6"/>
      <c r="B18" s="7"/>
      <c r="C18" s="140">
        <v>12</v>
      </c>
      <c r="D18" s="8" t="str">
        <f>IF(ISERROR(VLOOKUP($C18,'START LİSTE'!$B$6:$F$1027,2,0)),"",VLOOKUP($C18,'START LİSTE'!$B$6:$F$1027,2,0))</f>
        <v>ALPER YILDIRIM</v>
      </c>
      <c r="E18" s="9" t="str">
        <f>IF(ISERROR(VLOOKUP($C18,'START LİSTE'!$B$6:$F$1027,4,0)),"",VLOOKUP($C18,'START LİSTE'!$B$6:$F$1027,4,0))</f>
        <v>T</v>
      </c>
      <c r="F18" s="107" t="str">
        <f>IF(ISERROR(VLOOKUP($C18,'FERDİ SONUÇ'!$B$6:$H$862,6,0)),"",VLOOKUP($C18,'FERDİ SONUÇ'!$B$6:$H$862,6,0))</f>
        <v>-</v>
      </c>
      <c r="G18" s="9">
        <f>IF(OR(E18="",F18="DQ",F18="DNF",F18="DNS",F18=""),"-",VLOOKUP(C18,'FERDİ SONUÇ'!$B$6:$H$862,7,0))</f>
        <v>36</v>
      </c>
      <c r="H18" s="9">
        <f>IF(OR(E18="",E18="F",F18="DQ",F18="DNF",F18="DNS",F18=""),"-",VLOOKUP(C18,'FERDİ SONUÇ'!$B$6:$H$862,7,0))</f>
        <v>36</v>
      </c>
      <c r="I18" s="11">
        <f>IF(ISERROR(SMALL(H18:H21,1)),"-",SMALL(H18:H21,1))</f>
        <v>31</v>
      </c>
      <c r="J18" s="12"/>
      <c r="BA18" s="2">
        <v>1018</v>
      </c>
      <c r="BB18" s="50"/>
    </row>
    <row r="19" spans="1:54" ht="15" customHeight="1">
      <c r="A19" s="13"/>
      <c r="B19" s="14"/>
      <c r="C19" s="141">
        <v>13</v>
      </c>
      <c r="D19" s="15" t="str">
        <f>IF(ISERROR(VLOOKUP($C19,'START LİSTE'!$B$6:$F$1027,2,0)),"",VLOOKUP($C19,'START LİSTE'!$B$6:$F$1027,2,0))</f>
        <v>ALPEREN AKTAŞ</v>
      </c>
      <c r="E19" s="16" t="str">
        <f>IF(ISERROR(VLOOKUP($C19,'START LİSTE'!$B$6:$F$1027,4,0)),"",VLOOKUP($C19,'START LİSTE'!$B$6:$F$1027,4,0))</f>
        <v>T</v>
      </c>
      <c r="F19" s="108" t="str">
        <f>IF(ISERROR(VLOOKUP($C19,'FERDİ SONUÇ'!$B$6:$H$862,6,0)),"",VLOOKUP($C19,'FERDİ SONUÇ'!$B$6:$H$862,6,0))</f>
        <v>-</v>
      </c>
      <c r="G19" s="16">
        <f>IF(OR(E19="",F19="DQ",F19="DNF",F19="DNS",F19=""),"-",VLOOKUP(C19,'FERDİ SONUÇ'!$B$6:$H$862,7,0))</f>
        <v>31</v>
      </c>
      <c r="H19" s="16">
        <f>IF(OR(E19="",E19="F",F19="DQ",F19="DNF",F19="DNS",F19=""),"-",VLOOKUP(C19,'FERDİ SONUÇ'!$B$6:$H$862,7,0))</f>
        <v>31</v>
      </c>
      <c r="I19" s="18">
        <f>IF(ISERROR(SMALL(H18:H21,2)),"-",SMALL(H18:H21,2))</f>
        <v>36</v>
      </c>
      <c r="J19" s="19"/>
      <c r="BA19" s="2">
        <v>1019</v>
      </c>
      <c r="BB19" s="51"/>
    </row>
    <row r="20" spans="1:54" ht="15" customHeight="1">
      <c r="A20" s="30">
        <f>IF(AND(B20&lt;&gt;"",J20&lt;&gt;"DQ"),COUNT(J$6:J$245)-(RANK(J20,J$6:J$245)+COUNTIF(J$6:J20,J20))+2,IF(C18&lt;&gt;"",BA20,""))</f>
        <v>11</v>
      </c>
      <c r="B20" s="14" t="str">
        <f>IF(ISERROR(VLOOKUP(C18,'START LİSTE'!$B$6:$F$1027,3,0)),"",VLOOKUP(C18,'START LİSTE'!$B$6:$F$1027,3,0))</f>
        <v>ANTALYA</v>
      </c>
      <c r="C20" s="141">
        <v>14</v>
      </c>
      <c r="D20" s="15" t="str">
        <f>IF(ISERROR(VLOOKUP($C20,'START LİSTE'!$B$6:$F$1027,2,0)),"",VLOOKUP($C20,'START LİSTE'!$B$6:$F$1027,2,0))</f>
        <v>GÖKSEL MIH</v>
      </c>
      <c r="E20" s="16" t="str">
        <f>IF(ISERROR(VLOOKUP($C20,'START LİSTE'!$B$6:$F$1027,4,0)),"",VLOOKUP($C20,'START LİSTE'!$B$6:$F$1027,4,0))</f>
        <v>T</v>
      </c>
      <c r="F20" s="108" t="str">
        <f>IF(ISERROR(VLOOKUP($C20,'FERDİ SONUÇ'!$B$6:$H$862,6,0)),"",VLOOKUP($C20,'FERDİ SONUÇ'!$B$6:$H$862,6,0))</f>
        <v>-</v>
      </c>
      <c r="G20" s="16">
        <f>IF(OR(E20="",F20="DQ",F20="DNF",F20="DNS",F20=""),"-",VLOOKUP(C20,'FERDİ SONUÇ'!$B$6:$H$862,7,0))</f>
        <v>63</v>
      </c>
      <c r="H20" s="16">
        <f>IF(OR(E20="",E20="F",F20="DQ",F20="DNF",F20="DNS",F20=""),"-",VLOOKUP(C20,'FERDİ SONUÇ'!$B$6:$H$862,7,0))</f>
        <v>63</v>
      </c>
      <c r="I20" s="18">
        <f>IF(ISERROR(SMALL(H18:H21,3)),"-",SMALL(H18:H21,3))</f>
        <v>63</v>
      </c>
      <c r="J20" s="20">
        <f>IF(C18="","",IF(OR(I18="-",I19="-",I20="-"),"DQ",SUM(I18,I19,I20)))</f>
        <v>130</v>
      </c>
      <c r="BA20" s="2">
        <v>1020</v>
      </c>
      <c r="BB20" s="51"/>
    </row>
    <row r="21" spans="1:54" ht="15" customHeight="1">
      <c r="A21" s="13"/>
      <c r="B21" s="14"/>
      <c r="C21" s="141" t="s">
        <v>32</v>
      </c>
      <c r="D21" s="15" t="str">
        <f>IF(ISERROR(VLOOKUP($C21,'START LİSTE'!$B$6:$F$1027,2,0)),"",VLOOKUP($C21,'START LİSTE'!$B$6:$F$1027,2,0))</f>
        <v>-</v>
      </c>
      <c r="E21" s="16" t="str">
        <f>IF(ISERROR(VLOOKUP($C21,'START LİSTE'!$B$6:$F$1027,4,0)),"",VLOOKUP($C21,'START LİSTE'!$B$6:$F$1027,4,0))</f>
        <v>T</v>
      </c>
      <c r="F21" s="108">
        <f>IF(ISERROR(VLOOKUP($C21,'FERDİ SONUÇ'!$B$6:$H$862,6,0)),"",VLOOKUP($C21,'FERDİ SONUÇ'!$B$6:$H$862,6,0))</f>
      </c>
      <c r="G21" s="16" t="str">
        <f>IF(OR(E21="",F21="DQ",F21="DNF",F21="DNS",F21=""),"-",VLOOKUP(C21,'FERDİ SONUÇ'!$B$6:$H$862,7,0))</f>
        <v>-</v>
      </c>
      <c r="H21" s="16" t="str">
        <f>IF(OR(E21="",E21="F",F21="DQ",F21="DNF",F21="DNS",F21=""),"-",VLOOKUP(C21,'FERDİ SONUÇ'!$B$6:$H$862,7,0))</f>
        <v>-</v>
      </c>
      <c r="I21" s="18" t="str">
        <f>IF(ISERROR(SMALL(H18:H21,4)),"-",SMALL(H18:H21,4))</f>
        <v>-</v>
      </c>
      <c r="J21" s="19"/>
      <c r="BA21" s="2">
        <v>1021</v>
      </c>
      <c r="BB21" s="52"/>
    </row>
    <row r="22" spans="1:54" ht="15" customHeight="1">
      <c r="A22" s="6"/>
      <c r="B22" s="7"/>
      <c r="C22" s="140">
        <v>15</v>
      </c>
      <c r="D22" s="8" t="str">
        <f>IF(ISERROR(VLOOKUP($C22,'START LİSTE'!$B$6:$F$1027,2,0)),"",VLOOKUP($C22,'START LİSTE'!$B$6:$F$1027,2,0))</f>
        <v>HALİL KÖMÜR</v>
      </c>
      <c r="E22" s="9" t="str">
        <f>IF(ISERROR(VLOOKUP($C22,'START LİSTE'!$B$6:$F$1027,4,0)),"",VLOOKUP($C22,'START LİSTE'!$B$6:$F$1027,4,0))</f>
        <v>T</v>
      </c>
      <c r="F22" s="107" t="str">
        <f>IF(ISERROR(VLOOKUP($C22,'FERDİ SONUÇ'!$B$6:$H$862,6,0)),"",VLOOKUP($C22,'FERDİ SONUÇ'!$B$6:$H$862,6,0))</f>
        <v>-</v>
      </c>
      <c r="G22" s="9">
        <f>IF(OR(E22="",F22="DQ",F22="DNF",F22="DNS",F22=""),"-",VLOOKUP(C22,'FERDİ SONUÇ'!$B$6:$H$862,7,0))</f>
        <v>56</v>
      </c>
      <c r="H22" s="9">
        <f>IF(OR(E22="",E22="F",F22="DQ",F22="DNF",F22="DNS",F22=""),"-",VLOOKUP(C22,'FERDİ SONUÇ'!$B$6:$H$862,7,0))</f>
        <v>56</v>
      </c>
      <c r="I22" s="11">
        <f>IF(ISERROR(SMALL(H22:H25,1)),"-",SMALL(H22:H25,1))</f>
        <v>29</v>
      </c>
      <c r="J22" s="12"/>
      <c r="BA22" s="2">
        <v>1024</v>
      </c>
      <c r="BB22" s="50"/>
    </row>
    <row r="23" spans="1:54" ht="15" customHeight="1">
      <c r="A23" s="13"/>
      <c r="B23" s="14"/>
      <c r="C23" s="141">
        <v>16</v>
      </c>
      <c r="D23" s="15" t="str">
        <f>IF(ISERROR(VLOOKUP($C23,'START LİSTE'!$B$6:$F$1027,2,0)),"",VLOOKUP($C23,'START LİSTE'!$B$6:$F$1027,2,0))</f>
        <v>GÖKDENİZ TEKİN</v>
      </c>
      <c r="E23" s="16" t="str">
        <f>IF(ISERROR(VLOOKUP($C23,'START LİSTE'!$B$6:$F$1027,4,0)),"",VLOOKUP($C23,'START LİSTE'!$B$6:$F$1027,4,0))</f>
        <v>T</v>
      </c>
      <c r="F23" s="108" t="str">
        <f>IF(ISERROR(VLOOKUP($C23,'FERDİ SONUÇ'!$B$6:$H$862,6,0)),"",VLOOKUP($C23,'FERDİ SONUÇ'!$B$6:$H$862,6,0))</f>
        <v>DNF</v>
      </c>
      <c r="G23" s="16" t="str">
        <f>IF(OR(E23="",F23="DQ",F23="DNF",F23="DNS",F23=""),"-",VLOOKUP(C23,'FERDİ SONUÇ'!$B$6:$H$862,7,0))</f>
        <v>-</v>
      </c>
      <c r="H23" s="16" t="str">
        <f>IF(OR(E23="",E23="F",F23="DQ",F23="DNF",F23="DNS",F23=""),"-",VLOOKUP(C23,'FERDİ SONUÇ'!$B$6:$H$862,7,0))</f>
        <v>-</v>
      </c>
      <c r="I23" s="18">
        <f>IF(ISERROR(SMALL(H22:H25,2)),"-",SMALL(H22:H25,2))</f>
        <v>56</v>
      </c>
      <c r="J23" s="19"/>
      <c r="BA23" s="2">
        <v>1025</v>
      </c>
      <c r="BB23" s="51"/>
    </row>
    <row r="24" spans="1:54" ht="15" customHeight="1">
      <c r="A24" s="30">
        <f>IF(AND(B24&lt;&gt;"",J24&lt;&gt;"DQ"),COUNT(J$6:J$245)-(RANK(J24,J$6:J$245)+COUNTIF(J$6:J24,J24))+2,IF(C22&lt;&gt;"",BA24,""))</f>
        <v>16</v>
      </c>
      <c r="B24" s="14" t="str">
        <f>IF(ISERROR(VLOOKUP(C22,'START LİSTE'!$B$6:$F$1027,3,0)),"",VLOOKUP(C22,'START LİSTE'!$B$6:$F$1027,3,0))</f>
        <v>ARDAHAN</v>
      </c>
      <c r="C24" s="141">
        <v>17</v>
      </c>
      <c r="D24" s="15" t="str">
        <f>IF(ISERROR(VLOOKUP($C24,'START LİSTE'!$B$6:$F$1027,2,0)),"",VLOOKUP($C24,'START LİSTE'!$B$6:$F$1027,2,0))</f>
        <v>ÜMİTCAN KÖROĞLU</v>
      </c>
      <c r="E24" s="16" t="str">
        <f>IF(ISERROR(VLOOKUP($C24,'START LİSTE'!$B$6:$F$1027,4,0)),"",VLOOKUP($C24,'START LİSTE'!$B$6:$F$1027,4,0))</f>
        <v>T</v>
      </c>
      <c r="F24" s="108" t="str">
        <f>IF(ISERROR(VLOOKUP($C24,'FERDİ SONUÇ'!$B$6:$H$862,6,0)),"",VLOOKUP($C24,'FERDİ SONUÇ'!$B$6:$H$862,6,0))</f>
        <v>-</v>
      </c>
      <c r="G24" s="16">
        <f>IF(OR(E24="",F24="DQ",F24="DNF",F24="DNS",F24=""),"-",VLOOKUP(C24,'FERDİ SONUÇ'!$B$6:$H$862,7,0))</f>
        <v>29</v>
      </c>
      <c r="H24" s="16">
        <f>IF(OR(E24="",E24="F",F24="DQ",F24="DNF",F24="DNS",F24=""),"-",VLOOKUP(C24,'FERDİ SONUÇ'!$B$6:$H$862,7,0))</f>
        <v>29</v>
      </c>
      <c r="I24" s="18">
        <f>IF(ISERROR(SMALL(H22:H25,3)),"-",SMALL(H22:H25,3))</f>
        <v>81</v>
      </c>
      <c r="J24" s="20">
        <f>IF(C22="","",IF(OR(I22="-",I23="-",I24="-"),"DQ",SUM(I22,I23,I24)))</f>
        <v>166</v>
      </c>
      <c r="BA24" s="2">
        <v>1026</v>
      </c>
      <c r="BB24" s="51"/>
    </row>
    <row r="25" spans="1:54" ht="15" customHeight="1">
      <c r="A25" s="13"/>
      <c r="B25" s="14"/>
      <c r="C25" s="141">
        <v>18</v>
      </c>
      <c r="D25" s="15" t="str">
        <f>IF(ISERROR(VLOOKUP($C25,'START LİSTE'!$B$6:$F$1027,2,0)),"",VLOOKUP($C25,'START LİSTE'!$B$6:$F$1027,2,0))</f>
        <v>MERTCAN TORUN</v>
      </c>
      <c r="E25" s="16" t="str">
        <f>IF(ISERROR(VLOOKUP($C25,'START LİSTE'!$B$6:$F$1027,4,0)),"",VLOOKUP($C25,'START LİSTE'!$B$6:$F$1027,4,0))</f>
        <v>T</v>
      </c>
      <c r="F25" s="108" t="str">
        <f>IF(ISERROR(VLOOKUP($C25,'FERDİ SONUÇ'!$B$6:$H$862,6,0)),"",VLOOKUP($C25,'FERDİ SONUÇ'!$B$6:$H$862,6,0))</f>
        <v>-</v>
      </c>
      <c r="G25" s="16">
        <f>IF(OR(E25="",F25="DQ",F25="DNF",F25="DNS",F25=""),"-",VLOOKUP(C25,'FERDİ SONUÇ'!$B$6:$H$862,7,0))</f>
        <v>81</v>
      </c>
      <c r="H25" s="16">
        <f>IF(OR(E25="",E25="F",F25="DQ",F25="DNF",F25="DNS",F25=""),"-",VLOOKUP(C25,'FERDİ SONUÇ'!$B$6:$H$862,7,0))</f>
        <v>81</v>
      </c>
      <c r="I25" s="18" t="str">
        <f>IF(ISERROR(SMALL(H22:H25,4)),"-",SMALL(H22:H25,4))</f>
        <v>-</v>
      </c>
      <c r="J25" s="19"/>
      <c r="BA25" s="2">
        <v>1027</v>
      </c>
      <c r="BB25" s="52"/>
    </row>
    <row r="26" spans="1:54" ht="15" customHeight="1">
      <c r="A26" s="6"/>
      <c r="B26" s="7"/>
      <c r="C26" s="140">
        <v>19</v>
      </c>
      <c r="D26" s="8" t="str">
        <f>IF(ISERROR(VLOOKUP($C26,'START LİSTE'!$B$6:$F$1027,2,0)),"",VLOOKUP($C26,'START LİSTE'!$B$6:$F$1027,2,0))</f>
        <v>HAKAN TUNÇ</v>
      </c>
      <c r="E26" s="9" t="str">
        <f>IF(ISERROR(VLOOKUP($C26,'START LİSTE'!$B$6:$F$1027,4,0)),"",VLOOKUP($C26,'START LİSTE'!$B$6:$F$1027,4,0))</f>
        <v>T</v>
      </c>
      <c r="F26" s="107" t="str">
        <f>IF(ISERROR(VLOOKUP($C26,'FERDİ SONUÇ'!$B$6:$H$862,6,0)),"",VLOOKUP($C26,'FERDİ SONUÇ'!$B$6:$H$862,6,0))</f>
        <v>-</v>
      </c>
      <c r="G26" s="9">
        <f>IF(OR(E26="",F26="DQ",F26="DNF",F26="DNS",F26=""),"-",VLOOKUP(C26,'FERDİ SONUÇ'!$B$6:$H$862,7,0))</f>
        <v>30</v>
      </c>
      <c r="H26" s="9">
        <f>IF(OR(E26="",E26="F",F26="DQ",F26="DNF",F26="DNS",F26=""),"-",VLOOKUP(C26,'FERDİ SONUÇ'!$B$6:$H$862,7,0))</f>
        <v>30</v>
      </c>
      <c r="I26" s="11">
        <f>IF(ISERROR(SMALL(H26:H29,1)),"-",SMALL(H26:H29,1))</f>
        <v>30</v>
      </c>
      <c r="J26" s="12"/>
      <c r="BA26" s="2">
        <v>1030</v>
      </c>
      <c r="BB26" s="50"/>
    </row>
    <row r="27" spans="1:54" ht="15" customHeight="1">
      <c r="A27" s="13"/>
      <c r="B27" s="14"/>
      <c r="C27" s="141">
        <v>20</v>
      </c>
      <c r="D27" s="15" t="str">
        <f>IF(ISERROR(VLOOKUP($C27,'START LİSTE'!$B$6:$F$1027,2,0)),"",VLOOKUP($C27,'START LİSTE'!$B$6:$F$1027,2,0))</f>
        <v>CENKER SAVAŞ</v>
      </c>
      <c r="E27" s="16" t="str">
        <f>IF(ISERROR(VLOOKUP($C27,'START LİSTE'!$B$6:$F$1027,4,0)),"",VLOOKUP($C27,'START LİSTE'!$B$6:$F$1027,4,0))</f>
        <v>T</v>
      </c>
      <c r="F27" s="108" t="str">
        <f>IF(ISERROR(VLOOKUP($C27,'FERDİ SONUÇ'!$B$6:$H$862,6,0)),"",VLOOKUP($C27,'FERDİ SONUÇ'!$B$6:$H$862,6,0))</f>
        <v>-</v>
      </c>
      <c r="G27" s="16">
        <f>IF(OR(E27="",F27="DQ",F27="DNF",F27="DNS",F27=""),"-",VLOOKUP(C27,'FERDİ SONUÇ'!$B$6:$H$862,7,0))</f>
        <v>54</v>
      </c>
      <c r="H27" s="16">
        <f>IF(OR(E27="",E27="F",F27="DQ",F27="DNF",F27="DNS",F27=""),"-",VLOOKUP(C27,'FERDİ SONUÇ'!$B$6:$H$862,7,0))</f>
        <v>54</v>
      </c>
      <c r="I27" s="18">
        <f>IF(ISERROR(SMALL(H26:H29,2)),"-",SMALL(H26:H29,2))</f>
        <v>54</v>
      </c>
      <c r="J27" s="19"/>
      <c r="BA27" s="2">
        <v>1031</v>
      </c>
      <c r="BB27" s="51"/>
    </row>
    <row r="28" spans="1:54" ht="15" customHeight="1">
      <c r="A28" s="30">
        <f>IF(AND(B28&lt;&gt;"",J28&lt;&gt;"DQ"),COUNT(J$6:J$245)-(RANK(J28,J$6:J$245)+COUNTIF(J$6:J28,J28))+2,IF(C26&lt;&gt;"",BA28,""))</f>
        <v>18</v>
      </c>
      <c r="B28" s="14" t="str">
        <f>IF(ISERROR(VLOOKUP(C26,'START LİSTE'!$B$6:$F$1027,3,0)),"",VLOOKUP(C26,'START LİSTE'!$B$6:$F$1027,3,0))</f>
        <v>BALIKESİR İL KARMASI</v>
      </c>
      <c r="C28" s="141">
        <v>21</v>
      </c>
      <c r="D28" s="15" t="str">
        <f>IF(ISERROR(VLOOKUP($C28,'START LİSTE'!$B$6:$F$1027,2,0)),"",VLOOKUP($C28,'START LİSTE'!$B$6:$F$1027,2,0))</f>
        <v>EREN EMÜL</v>
      </c>
      <c r="E28" s="16" t="str">
        <f>IF(ISERROR(VLOOKUP($C28,'START LİSTE'!$B$6:$F$1027,4,0)),"",VLOOKUP($C28,'START LİSTE'!$B$6:$F$1027,4,0))</f>
        <v>T</v>
      </c>
      <c r="F28" s="108" t="str">
        <f>IF(ISERROR(VLOOKUP($C28,'FERDİ SONUÇ'!$B$6:$H$862,6,0)),"",VLOOKUP($C28,'FERDİ SONUÇ'!$B$6:$H$862,6,0))</f>
        <v>-</v>
      </c>
      <c r="G28" s="16">
        <f>IF(OR(E28="",F28="DQ",F28="DNF",F28="DNS",F28=""),"-",VLOOKUP(C28,'FERDİ SONUÇ'!$B$6:$H$862,7,0))</f>
        <v>84</v>
      </c>
      <c r="H28" s="16">
        <f>IF(OR(E28="",E28="F",F28="DQ",F28="DNF",F28="DNS",F28=""),"-",VLOOKUP(C28,'FERDİ SONUÇ'!$B$6:$H$862,7,0))</f>
        <v>84</v>
      </c>
      <c r="I28" s="18">
        <f>IF(ISERROR(SMALL(H26:H29,3)),"-",SMALL(H26:H29,3))</f>
        <v>84</v>
      </c>
      <c r="J28" s="20">
        <f>IF(C26="","",IF(OR(I26="-",I27="-",I28="-"),"DQ",SUM(I26,I27,I28)))</f>
        <v>168</v>
      </c>
      <c r="BA28" s="2">
        <v>1032</v>
      </c>
      <c r="BB28" s="51"/>
    </row>
    <row r="29" spans="1:54" ht="15" customHeight="1">
      <c r="A29" s="13"/>
      <c r="B29" s="14"/>
      <c r="C29" s="141" t="s">
        <v>32</v>
      </c>
      <c r="D29" s="15" t="str">
        <f>IF(ISERROR(VLOOKUP($C29,'START LİSTE'!$B$6:$F$1027,2,0)),"",VLOOKUP($C29,'START LİSTE'!$B$6:$F$1027,2,0))</f>
        <v>-</v>
      </c>
      <c r="E29" s="16" t="str">
        <f>IF(ISERROR(VLOOKUP($C29,'START LİSTE'!$B$6:$F$1027,4,0)),"",VLOOKUP($C29,'START LİSTE'!$B$6:$F$1027,4,0))</f>
        <v>T</v>
      </c>
      <c r="F29" s="108">
        <f>IF(ISERROR(VLOOKUP($C29,'FERDİ SONUÇ'!$B$6:$H$862,6,0)),"",VLOOKUP($C29,'FERDİ SONUÇ'!$B$6:$H$862,6,0))</f>
      </c>
      <c r="G29" s="16" t="str">
        <f>IF(OR(E29="",F29="DQ",F29="DNF",F29="DNS",F29=""),"-",VLOOKUP(C29,'FERDİ SONUÇ'!$B$6:$H$862,7,0))</f>
        <v>-</v>
      </c>
      <c r="H29" s="16" t="str">
        <f>IF(OR(E29="",E29="F",F29="DQ",F29="DNF",F29="DNS",F29=""),"-",VLOOKUP(C29,'FERDİ SONUÇ'!$B$6:$H$862,7,0))</f>
        <v>-</v>
      </c>
      <c r="I29" s="18" t="str">
        <f>IF(ISERROR(SMALL(H26:H29,4)),"-",SMALL(H26:H29,4))</f>
        <v>-</v>
      </c>
      <c r="J29" s="19"/>
      <c r="BA29" s="2">
        <v>1033</v>
      </c>
      <c r="BB29" s="52"/>
    </row>
    <row r="30" spans="1:54" ht="15" customHeight="1">
      <c r="A30" s="6"/>
      <c r="B30" s="7"/>
      <c r="C30" s="140">
        <v>22</v>
      </c>
      <c r="D30" s="8" t="str">
        <f>IF(ISERROR(VLOOKUP($C30,'START LİSTE'!$B$6:$F$1027,2,0)),"",VLOOKUP($C30,'START LİSTE'!$B$6:$F$1027,2,0))</f>
        <v>ŞAHİN DURMAZ</v>
      </c>
      <c r="E30" s="9" t="str">
        <f>IF(ISERROR(VLOOKUP($C30,'START LİSTE'!$B$6:$F$1027,4,0)),"",VLOOKUP($C30,'START LİSTE'!$B$6:$F$1027,4,0))</f>
        <v>T</v>
      </c>
      <c r="F30" s="107">
        <f>IF(ISERROR(VLOOKUP($C30,'FERDİ SONUÇ'!$B$6:$H$862,6,0)),"",VLOOKUP($C30,'FERDİ SONUÇ'!$B$6:$H$862,6,0))</f>
        <v>703</v>
      </c>
      <c r="G30" s="9">
        <f>IF(OR(E30="",F30="DQ",F30="DNF",F30="DNS",F30=""),"-",VLOOKUP(C30,'FERDİ SONUÇ'!$B$6:$H$862,7,0))</f>
        <v>9</v>
      </c>
      <c r="H30" s="9">
        <f>IF(OR(E30="",E30="F",F30="DQ",F30="DNF",F30="DNS",F30=""),"-",VLOOKUP(C30,'FERDİ SONUÇ'!$B$6:$H$862,7,0))</f>
        <v>9</v>
      </c>
      <c r="I30" s="11">
        <f>IF(ISERROR(SMALL(H30:H33,1)),"-",SMALL(H30:H33,1))</f>
        <v>7</v>
      </c>
      <c r="J30" s="12"/>
      <c r="BA30" s="2">
        <v>1036</v>
      </c>
      <c r="BB30" s="50"/>
    </row>
    <row r="31" spans="1:54" ht="15" customHeight="1">
      <c r="A31" s="13"/>
      <c r="B31" s="14"/>
      <c r="C31" s="141">
        <v>23</v>
      </c>
      <c r="D31" s="15" t="str">
        <f>IF(ISERROR(VLOOKUP($C31,'START LİSTE'!$B$6:$F$1027,2,0)),"",VLOOKUP($C31,'START LİSTE'!$B$6:$F$1027,2,0))</f>
        <v>NURULLAH İNAL</v>
      </c>
      <c r="E31" s="16" t="str">
        <f>IF(ISERROR(VLOOKUP($C31,'START LİSTE'!$B$6:$F$1027,4,0)),"",VLOOKUP($C31,'START LİSTE'!$B$6:$F$1027,4,0))</f>
        <v>T</v>
      </c>
      <c r="F31" s="108">
        <f>IF(ISERROR(VLOOKUP($C31,'FERDİ SONUÇ'!$B$6:$H$862,6,0)),"",VLOOKUP($C31,'FERDİ SONUÇ'!$B$6:$H$862,6,0))</f>
        <v>649</v>
      </c>
      <c r="G31" s="16">
        <f>IF(OR(E31="",F31="DQ",F31="DNF",F31="DNS",F31=""),"-",VLOOKUP(C31,'FERDİ SONUÇ'!$B$6:$H$862,7,0))</f>
        <v>7</v>
      </c>
      <c r="H31" s="16">
        <f>IF(OR(E31="",E31="F",F31="DQ",F31="DNF",F31="DNS",F31=""),"-",VLOOKUP(C31,'FERDİ SONUÇ'!$B$6:$H$862,7,0))</f>
        <v>7</v>
      </c>
      <c r="I31" s="18">
        <f>IF(ISERROR(SMALL(H30:H33,2)),"-",SMALL(H30:H33,2))</f>
        <v>9</v>
      </c>
      <c r="J31" s="19"/>
      <c r="BA31" s="2">
        <v>1037</v>
      </c>
      <c r="BB31" s="51"/>
    </row>
    <row r="32" spans="1:54" ht="15" customHeight="1">
      <c r="A32" s="30">
        <f>IF(AND(B32&lt;&gt;"",J32&lt;&gt;"DQ"),COUNT(J$6:J$245)-(RANK(J32,J$6:J$245)+COUNTIF(J$6:J32,J32))+2,IF(C30&lt;&gt;"",BA32,""))</f>
        <v>5</v>
      </c>
      <c r="B32" s="14" t="str">
        <f>IF(ISERROR(VLOOKUP(C30,'START LİSTE'!$B$6:$F$1027,3,0)),"",VLOOKUP(C30,'START LİSTE'!$B$6:$F$1027,3,0))</f>
        <v>BATMAN</v>
      </c>
      <c r="C32" s="141">
        <v>24</v>
      </c>
      <c r="D32" s="15" t="str">
        <f>IF(ISERROR(VLOOKUP($C32,'START LİSTE'!$B$6:$F$1027,2,0)),"",VLOOKUP($C32,'START LİSTE'!$B$6:$F$1027,2,0))</f>
        <v>HARUN AL</v>
      </c>
      <c r="E32" s="16" t="str">
        <f>IF(ISERROR(VLOOKUP($C32,'START LİSTE'!$B$6:$F$1027,4,0)),"",VLOOKUP($C32,'START LİSTE'!$B$6:$F$1027,4,0))</f>
        <v>T</v>
      </c>
      <c r="F32" s="108" t="str">
        <f>IF(ISERROR(VLOOKUP($C32,'FERDİ SONUÇ'!$B$6:$H$862,6,0)),"",VLOOKUP($C32,'FERDİ SONUÇ'!$B$6:$H$862,6,0))</f>
        <v>-</v>
      </c>
      <c r="G32" s="16">
        <f>IF(OR(E32="",F32="DQ",F32="DNF",F32="DNS",F32=""),"-",VLOOKUP(C32,'FERDİ SONUÇ'!$B$6:$H$862,7,0))</f>
        <v>50</v>
      </c>
      <c r="H32" s="16">
        <f>IF(OR(E32="",E32="F",F32="DQ",F32="DNF",F32="DNS",F32=""),"-",VLOOKUP(C32,'FERDİ SONUÇ'!$B$6:$H$862,7,0))</f>
        <v>50</v>
      </c>
      <c r="I32" s="18">
        <f>IF(ISERROR(SMALL(H30:H33,3)),"-",SMALL(H30:H33,3))</f>
        <v>50</v>
      </c>
      <c r="J32" s="20">
        <f>IF(C30="","",IF(OR(I30="-",I31="-",I32="-"),"DQ",SUM(I30,I31,I32)))</f>
        <v>66</v>
      </c>
      <c r="BA32" s="2">
        <v>1038</v>
      </c>
      <c r="BB32" s="51"/>
    </row>
    <row r="33" spans="1:54" ht="15" customHeight="1">
      <c r="A33" s="13"/>
      <c r="B33" s="14"/>
      <c r="C33" s="141" t="s">
        <v>32</v>
      </c>
      <c r="D33" s="15" t="str">
        <f>IF(ISERROR(VLOOKUP($C33,'START LİSTE'!$B$6:$F$1027,2,0)),"",VLOOKUP($C33,'START LİSTE'!$B$6:$F$1027,2,0))</f>
        <v>-</v>
      </c>
      <c r="E33" s="16" t="str">
        <f>IF(ISERROR(VLOOKUP($C33,'START LİSTE'!$B$6:$F$1027,4,0)),"",VLOOKUP($C33,'START LİSTE'!$B$6:$F$1027,4,0))</f>
        <v>T</v>
      </c>
      <c r="F33" s="108">
        <f>IF(ISERROR(VLOOKUP($C33,'FERDİ SONUÇ'!$B$6:$H$862,6,0)),"",VLOOKUP($C33,'FERDİ SONUÇ'!$B$6:$H$862,6,0))</f>
      </c>
      <c r="G33" s="16" t="str">
        <f>IF(OR(E33="",F33="DQ",F33="DNF",F33="DNS",F33=""),"-",VLOOKUP(C33,'FERDİ SONUÇ'!$B$6:$H$862,7,0))</f>
        <v>-</v>
      </c>
      <c r="H33" s="16" t="str">
        <f>IF(OR(E33="",E33="F",F33="DQ",F33="DNF",F33="DNS",F33=""),"-",VLOOKUP(C33,'FERDİ SONUÇ'!$B$6:$H$862,7,0))</f>
        <v>-</v>
      </c>
      <c r="I33" s="18" t="str">
        <f>IF(ISERROR(SMALL(H30:H33,4)),"-",SMALL(H30:H33,4))</f>
        <v>-</v>
      </c>
      <c r="J33" s="19"/>
      <c r="BA33" s="2">
        <v>1039</v>
      </c>
      <c r="BB33" s="52"/>
    </row>
    <row r="34" spans="1:54" ht="15" customHeight="1">
      <c r="A34" s="6"/>
      <c r="B34" s="7"/>
      <c r="C34" s="140">
        <v>25</v>
      </c>
      <c r="D34" s="8" t="str">
        <f>IF(ISERROR(VLOOKUP($C34,'START LİSTE'!$B$6:$F$1027,2,0)),"",VLOOKUP($C34,'START LİSTE'!$B$6:$F$1027,2,0))</f>
        <v>ÖMER YILDIRIM</v>
      </c>
      <c r="E34" s="9" t="str">
        <f>IF(ISERROR(VLOOKUP($C34,'START LİSTE'!$B$6:$F$1027,4,0)),"",VLOOKUP($C34,'START LİSTE'!$B$6:$F$1027,4,0))</f>
        <v>T</v>
      </c>
      <c r="F34" s="107">
        <f>IF(ISERROR(VLOOKUP($C34,'FERDİ SONUÇ'!$B$6:$H$862,6,0)),"",VLOOKUP($C34,'FERDİ SONUÇ'!$B$6:$H$862,6,0))</f>
        <v>707</v>
      </c>
      <c r="G34" s="9">
        <f>IF(OR(E34="",F34="DQ",F34="DNF",F34="DNS",F34=""),"-",VLOOKUP(C34,'FERDİ SONUÇ'!$B$6:$H$862,7,0))</f>
        <v>12</v>
      </c>
      <c r="H34" s="9">
        <f>IF(OR(E34="",E34="F",F34="DQ",F34="DNF",F34="DNS",F34=""),"-",VLOOKUP(C34,'FERDİ SONUÇ'!$B$6:$H$862,7,0))</f>
        <v>12</v>
      </c>
      <c r="I34" s="11">
        <f>IF(ISERROR(SMALL(H34:H37,1)),"-",SMALL(H34:H37,1))</f>
        <v>11</v>
      </c>
      <c r="J34" s="12"/>
      <c r="BA34" s="2">
        <v>1042</v>
      </c>
      <c r="BB34" s="50"/>
    </row>
    <row r="35" spans="1:54" ht="15" customHeight="1">
      <c r="A35" s="13"/>
      <c r="B35" s="14"/>
      <c r="C35" s="141">
        <v>26</v>
      </c>
      <c r="D35" s="15" t="str">
        <f>IF(ISERROR(VLOOKUP($C35,'START LİSTE'!$B$6:$F$1027,2,0)),"",VLOOKUP($C35,'START LİSTE'!$B$6:$F$1027,2,0))</f>
        <v>RECEP KENBER</v>
      </c>
      <c r="E35" s="16" t="str">
        <f>IF(ISERROR(VLOOKUP($C35,'START LİSTE'!$B$6:$F$1027,4,0)),"",VLOOKUP($C35,'START LİSTE'!$B$6:$F$1027,4,0))</f>
        <v>T</v>
      </c>
      <c r="F35" s="108" t="str">
        <f>IF(ISERROR(VLOOKUP($C35,'FERDİ SONUÇ'!$B$6:$H$862,6,0)),"",VLOOKUP($C35,'FERDİ SONUÇ'!$B$6:$H$862,6,0))</f>
        <v>DNF</v>
      </c>
      <c r="G35" s="16" t="str">
        <f>IF(OR(E35="",F35="DQ",F35="DNF",F35="DNS",F35=""),"-",VLOOKUP(C35,'FERDİ SONUÇ'!$B$6:$H$862,7,0))</f>
        <v>-</v>
      </c>
      <c r="H35" s="16" t="str">
        <f>IF(OR(E35="",E35="F",F35="DQ",F35="DNF",F35="DNS",F35=""),"-",VLOOKUP(C35,'FERDİ SONUÇ'!$B$6:$H$862,7,0))</f>
        <v>-</v>
      </c>
      <c r="I35" s="18">
        <f>IF(ISERROR(SMALL(H34:H37,2)),"-",SMALL(H34:H37,2))</f>
        <v>12</v>
      </c>
      <c r="J35" s="19"/>
      <c r="BA35" s="2">
        <v>1043</v>
      </c>
      <c r="BB35" s="51"/>
    </row>
    <row r="36" spans="1:54" ht="15" customHeight="1">
      <c r="A36" s="30">
        <f>IF(AND(B36&lt;&gt;"",J36&lt;&gt;"DQ"),COUNT(J$6:J$245)-(RANK(J36,J$6:J$245)+COUNTIF(J$6:J36,J36))+2,IF(C34&lt;&gt;"",BA36,""))</f>
        <v>1044</v>
      </c>
      <c r="B36" s="14" t="str">
        <f>IF(ISERROR(VLOOKUP(C34,'START LİSTE'!$B$6:$F$1027,3,0)),"",VLOOKUP(C34,'START LİSTE'!$B$6:$F$1027,3,0))</f>
        <v>BİNGÖL</v>
      </c>
      <c r="C36" s="141">
        <v>27</v>
      </c>
      <c r="D36" s="15" t="str">
        <f>IF(ISERROR(VLOOKUP($C36,'START LİSTE'!$B$6:$F$1027,2,0)),"",VLOOKUP($C36,'START LİSTE'!$B$6:$F$1027,2,0))</f>
        <v>ÖZGÜR İLHAN</v>
      </c>
      <c r="E36" s="16" t="str">
        <f>IF(ISERROR(VLOOKUP($C36,'START LİSTE'!$B$6:$F$1027,4,0)),"",VLOOKUP($C36,'START LİSTE'!$B$6:$F$1027,4,0))</f>
        <v>T</v>
      </c>
      <c r="F36" s="108">
        <f>IF(ISERROR(VLOOKUP($C36,'FERDİ SONUÇ'!$B$6:$H$862,6,0)),"",VLOOKUP($C36,'FERDİ SONUÇ'!$B$6:$H$862,6,0))</f>
        <v>706</v>
      </c>
      <c r="G36" s="16">
        <f>IF(OR(E36="",F36="DQ",F36="DNF",F36="DNS",F36=""),"-",VLOOKUP(C36,'FERDİ SONUÇ'!$B$6:$H$862,7,0))</f>
        <v>11</v>
      </c>
      <c r="H36" s="16">
        <f>IF(OR(E36="",E36="F",F36="DQ",F36="DNF",F36="DNS",F36=""),"-",VLOOKUP(C36,'FERDİ SONUÇ'!$B$6:$H$862,7,0))</f>
        <v>11</v>
      </c>
      <c r="I36" s="18" t="str">
        <f>IF(ISERROR(SMALL(H34:H37,3)),"-",SMALL(H34:H37,3))</f>
        <v>-</v>
      </c>
      <c r="J36" s="20" t="str">
        <f>IF(C34="","",IF(OR(I34="-",I35="-",I36="-"),"DQ",SUM(I34,I35,I36)))</f>
        <v>DQ</v>
      </c>
      <c r="BA36" s="2">
        <v>1044</v>
      </c>
      <c r="BB36" s="51"/>
    </row>
    <row r="37" spans="1:54" ht="15" customHeight="1">
      <c r="A37" s="13"/>
      <c r="B37" s="14"/>
      <c r="C37" s="141">
        <v>28</v>
      </c>
      <c r="D37" s="15" t="str">
        <f>IF(ISERROR(VLOOKUP($C37,'START LİSTE'!$B$6:$F$1027,2,0)),"",VLOOKUP($C37,'START LİSTE'!$B$6:$F$1027,2,0))</f>
        <v>YUSUF ELELÇİ</v>
      </c>
      <c r="E37" s="16" t="str">
        <f>IF(ISERROR(VLOOKUP($C37,'START LİSTE'!$B$6:$F$1027,4,0)),"",VLOOKUP($C37,'START LİSTE'!$B$6:$F$1027,4,0))</f>
        <v>T</v>
      </c>
      <c r="F37" s="108" t="str">
        <f>IF(ISERROR(VLOOKUP($C37,'FERDİ SONUÇ'!$B$6:$H$862,6,0)),"",VLOOKUP($C37,'FERDİ SONUÇ'!$B$6:$H$862,6,0))</f>
        <v>DNF</v>
      </c>
      <c r="G37" s="16" t="str">
        <f>IF(OR(E37="",F37="DQ",F37="DNF",F37="DNS",F37=""),"-",VLOOKUP(C37,'FERDİ SONUÇ'!$B$6:$H$862,7,0))</f>
        <v>-</v>
      </c>
      <c r="H37" s="16" t="str">
        <f>IF(OR(E37="",E37="F",F37="DQ",F37="DNF",F37="DNS",F37=""),"-",VLOOKUP(C37,'FERDİ SONUÇ'!$B$6:$H$862,7,0))</f>
        <v>-</v>
      </c>
      <c r="I37" s="18" t="str">
        <f>IF(ISERROR(SMALL(H34:H37,4)),"-",SMALL(H34:H37,4))</f>
        <v>-</v>
      </c>
      <c r="J37" s="19"/>
      <c r="BA37" s="2">
        <v>1045</v>
      </c>
      <c r="BB37" s="52"/>
    </row>
    <row r="38" spans="1:54" ht="15" customHeight="1">
      <c r="A38" s="6"/>
      <c r="B38" s="7"/>
      <c r="C38" s="140">
        <v>29</v>
      </c>
      <c r="D38" s="8" t="str">
        <f>IF(ISERROR(VLOOKUP($C38,'START LİSTE'!$B$6:$F$1027,2,0)),"",VLOOKUP($C38,'START LİSTE'!$B$6:$F$1027,2,0))</f>
        <v>FERHAT PEKMEZ</v>
      </c>
      <c r="E38" s="9" t="str">
        <f>IF(ISERROR(VLOOKUP($C38,'START LİSTE'!$B$6:$F$1027,4,0)),"",VLOOKUP($C38,'START LİSTE'!$B$6:$F$1027,4,0))</f>
        <v>T</v>
      </c>
      <c r="F38" s="107" t="str">
        <f>IF(ISERROR(VLOOKUP($C38,'FERDİ SONUÇ'!$B$6:$H$862,6,0)),"",VLOOKUP($C38,'FERDİ SONUÇ'!$B$6:$H$862,6,0))</f>
        <v>DNF</v>
      </c>
      <c r="G38" s="9" t="str">
        <f>IF(OR(E38="",F38="DQ",F38="DNF",F38="DNS",F38=""),"-",VLOOKUP(C38,'FERDİ SONUÇ'!$B$6:$H$862,7,0))</f>
        <v>-</v>
      </c>
      <c r="H38" s="9" t="str">
        <f>IF(OR(E38="",E38="F",F38="DQ",F38="DNF",F38="DNS",F38=""),"-",VLOOKUP(C38,'FERDİ SONUÇ'!$B$6:$H$862,7,0))</f>
        <v>-</v>
      </c>
      <c r="I38" s="11">
        <f>IF(ISERROR(SMALL(H38:H41,1)),"-",SMALL(H38:H41,1))</f>
        <v>27</v>
      </c>
      <c r="J38" s="12"/>
      <c r="BA38" s="2">
        <v>1048</v>
      </c>
      <c r="BB38" s="50"/>
    </row>
    <row r="39" spans="1:54" ht="15" customHeight="1">
      <c r="A39" s="13"/>
      <c r="B39" s="14"/>
      <c r="C39" s="141">
        <v>30</v>
      </c>
      <c r="D39" s="15" t="str">
        <f>IF(ISERROR(VLOOKUP($C39,'START LİSTE'!$B$6:$F$1027,2,0)),"",VLOOKUP($C39,'START LİSTE'!$B$6:$F$1027,2,0))</f>
        <v>CEBRAİL AYKAÇ</v>
      </c>
      <c r="E39" s="16" t="str">
        <f>IF(ISERROR(VLOOKUP($C39,'START LİSTE'!$B$6:$F$1027,4,0)),"",VLOOKUP($C39,'START LİSTE'!$B$6:$F$1027,4,0))</f>
        <v>T</v>
      </c>
      <c r="F39" s="108" t="str">
        <f>IF(ISERROR(VLOOKUP($C39,'FERDİ SONUÇ'!$B$6:$H$862,6,0)),"",VLOOKUP($C39,'FERDİ SONUÇ'!$B$6:$H$862,6,0))</f>
        <v>-</v>
      </c>
      <c r="G39" s="16">
        <f>IF(OR(E39="",F39="DQ",F39="DNF",F39="DNS",F39=""),"-",VLOOKUP(C39,'FERDİ SONUÇ'!$B$6:$H$862,7,0))</f>
        <v>27</v>
      </c>
      <c r="H39" s="16">
        <f>IF(OR(E39="",E39="F",F39="DQ",F39="DNF",F39="DNS",F39=""),"-",VLOOKUP(C39,'FERDİ SONUÇ'!$B$6:$H$862,7,0))</f>
        <v>27</v>
      </c>
      <c r="I39" s="18">
        <f>IF(ISERROR(SMALL(H38:H41,2)),"-",SMALL(H38:H41,2))</f>
        <v>58</v>
      </c>
      <c r="J39" s="19"/>
      <c r="BA39" s="2">
        <v>1049</v>
      </c>
      <c r="BB39" s="51"/>
    </row>
    <row r="40" spans="1:54" ht="15" customHeight="1">
      <c r="A40" s="30">
        <f>IF(AND(B40&lt;&gt;"",J40&lt;&gt;"DQ"),COUNT(J$6:J$245)-(RANK(J40,J$6:J$245)+COUNTIF(J$6:J40,J40))+2,IF(C38&lt;&gt;"",BA40,""))</f>
        <v>1050</v>
      </c>
      <c r="B40" s="14" t="str">
        <f>IF(ISERROR(VLOOKUP(C38,'START LİSTE'!$B$6:$F$1027,3,0)),"",VLOOKUP(C38,'START LİSTE'!$B$6:$F$1027,3,0))</f>
        <v>DİYARBAKIR</v>
      </c>
      <c r="C40" s="141">
        <v>31</v>
      </c>
      <c r="D40" s="15" t="str">
        <f>IF(ISERROR(VLOOKUP($C40,'START LİSTE'!$B$6:$F$1027,2,0)),"",VLOOKUP($C40,'START LİSTE'!$B$6:$F$1027,2,0))</f>
        <v>BÜNYAMİN BÖRTEN</v>
      </c>
      <c r="E40" s="16" t="str">
        <f>IF(ISERROR(VLOOKUP($C40,'START LİSTE'!$B$6:$F$1027,4,0)),"",VLOOKUP($C40,'START LİSTE'!$B$6:$F$1027,4,0))</f>
        <v>T</v>
      </c>
      <c r="F40" s="108" t="str">
        <f>IF(ISERROR(VLOOKUP($C40,'FERDİ SONUÇ'!$B$6:$H$862,6,0)),"",VLOOKUP($C40,'FERDİ SONUÇ'!$B$6:$H$862,6,0))</f>
        <v>-</v>
      </c>
      <c r="G40" s="16">
        <f>IF(OR(E40="",F40="DQ",F40="DNF",F40="DNS",F40=""),"-",VLOOKUP(C40,'FERDİ SONUÇ'!$B$6:$H$862,7,0))</f>
        <v>58</v>
      </c>
      <c r="H40" s="16">
        <f>IF(OR(E40="",E40="F",F40="DQ",F40="DNF",F40="DNS",F40=""),"-",VLOOKUP(C40,'FERDİ SONUÇ'!$B$6:$H$862,7,0))</f>
        <v>58</v>
      </c>
      <c r="I40" s="18" t="str">
        <f>IF(ISERROR(SMALL(H38:H41,3)),"-",SMALL(H38:H41,3))</f>
        <v>-</v>
      </c>
      <c r="J40" s="20" t="str">
        <f>IF(C38="","",IF(OR(I38="-",I39="-",I40="-"),"DQ",SUM(I38,I39,I40)))</f>
        <v>DQ</v>
      </c>
      <c r="BA40" s="2">
        <v>1050</v>
      </c>
      <c r="BB40" s="51"/>
    </row>
    <row r="41" spans="1:54" ht="15" customHeight="1">
      <c r="A41" s="13"/>
      <c r="B41" s="14"/>
      <c r="C41" s="141">
        <v>32</v>
      </c>
      <c r="D41" s="15" t="str">
        <f>IF(ISERROR(VLOOKUP($C41,'START LİSTE'!$B$6:$F$1027,2,0)),"",VLOOKUP($C41,'START LİSTE'!$B$6:$F$1027,2,0))</f>
        <v>UĞUR  BAYRAM</v>
      </c>
      <c r="E41" s="16" t="str">
        <f>IF(ISERROR(VLOOKUP($C41,'START LİSTE'!$B$6:$F$1027,4,0)),"",VLOOKUP($C41,'START LİSTE'!$B$6:$F$1027,4,0))</f>
        <v>T</v>
      </c>
      <c r="F41" s="108" t="str">
        <f>IF(ISERROR(VLOOKUP($C41,'FERDİ SONUÇ'!$B$6:$H$862,6,0)),"",VLOOKUP($C41,'FERDİ SONUÇ'!$B$6:$H$862,6,0))</f>
        <v>DNF</v>
      </c>
      <c r="G41" s="16" t="str">
        <f>IF(OR(E41="",F41="DQ",F41="DNF",F41="DNS",F41=""),"-",VLOOKUP(C41,'FERDİ SONUÇ'!$B$6:$H$862,7,0))</f>
        <v>-</v>
      </c>
      <c r="H41" s="16" t="str">
        <f>IF(OR(E41="",E41="F",F41="DQ",F41="DNF",F41="DNS",F41=""),"-",VLOOKUP(C41,'FERDİ SONUÇ'!$B$6:$H$862,7,0))</f>
        <v>-</v>
      </c>
      <c r="I41" s="18" t="str">
        <f>IF(ISERROR(SMALL(H38:H41,4)),"-",SMALL(H38:H41,4))</f>
        <v>-</v>
      </c>
      <c r="J41" s="19"/>
      <c r="BA41" s="2">
        <v>1051</v>
      </c>
      <c r="BB41" s="52"/>
    </row>
    <row r="42" spans="1:54" ht="15" customHeight="1">
      <c r="A42" s="6"/>
      <c r="B42" s="7"/>
      <c r="C42" s="140">
        <v>33</v>
      </c>
      <c r="D42" s="8" t="str">
        <f>IF(ISERROR(VLOOKUP($C42,'START LİSTE'!$B$6:$F$1027,2,0)),"",VLOOKUP($C42,'START LİSTE'!$B$6:$F$1027,2,0))</f>
        <v>FERHAT GÜNDÜZ</v>
      </c>
      <c r="E42" s="9" t="str">
        <f>IF(ISERROR(VLOOKUP($C42,'START LİSTE'!$B$6:$F$1027,4,0)),"",VLOOKUP($C42,'START LİSTE'!$B$6:$F$1027,4,0))</f>
        <v>T</v>
      </c>
      <c r="F42" s="107" t="str">
        <f>IF(ISERROR(VLOOKUP($C42,'FERDİ SONUÇ'!$B$6:$H$862,6,0)),"",VLOOKUP($C42,'FERDİ SONUÇ'!$B$6:$H$862,6,0))</f>
        <v>-</v>
      </c>
      <c r="G42" s="9">
        <f>IF(OR(E42="",F42="DQ",F42="DNF",F42="DNS",F42=""),"-",VLOOKUP(C42,'FERDİ SONUÇ'!$B$6:$H$862,7,0))</f>
        <v>48</v>
      </c>
      <c r="H42" s="9">
        <f>IF(OR(E42="",E42="F",F42="DQ",F42="DNF",F42="DNS",F42=""),"-",VLOOKUP(C42,'FERDİ SONUÇ'!$B$6:$H$862,7,0))</f>
        <v>48</v>
      </c>
      <c r="I42" s="11">
        <f>IF(ISERROR(SMALL(H42:H45,1)),"-",SMALL(H42:H45,1))</f>
        <v>48</v>
      </c>
      <c r="J42" s="12"/>
      <c r="BA42" s="2">
        <v>1054</v>
      </c>
      <c r="BB42" s="50"/>
    </row>
    <row r="43" spans="1:54" ht="15" customHeight="1">
      <c r="A43" s="13"/>
      <c r="B43" s="14"/>
      <c r="C43" s="141">
        <v>34</v>
      </c>
      <c r="D43" s="15" t="str">
        <f>IF(ISERROR(VLOOKUP($C43,'START LİSTE'!$B$6:$F$1027,2,0)),"",VLOOKUP($C43,'START LİSTE'!$B$6:$F$1027,2,0))</f>
        <v>AZİZCAN BERBER</v>
      </c>
      <c r="E43" s="16" t="str">
        <f>IF(ISERROR(VLOOKUP($C43,'START LİSTE'!$B$6:$F$1027,4,0)),"",VLOOKUP($C43,'START LİSTE'!$B$6:$F$1027,4,0))</f>
        <v>T</v>
      </c>
      <c r="F43" s="108" t="str">
        <f>IF(ISERROR(VLOOKUP($C43,'FERDİ SONUÇ'!$B$6:$H$862,6,0)),"",VLOOKUP($C43,'FERDİ SONUÇ'!$B$6:$H$862,6,0))</f>
        <v>-</v>
      </c>
      <c r="G43" s="16">
        <f>IF(OR(E43="",F43="DQ",F43="DNF",F43="DNS",F43=""),"-",VLOOKUP(C43,'FERDİ SONUÇ'!$B$6:$H$862,7,0))</f>
        <v>72</v>
      </c>
      <c r="H43" s="16">
        <f>IF(OR(E43="",E43="F",F43="DQ",F43="DNF",F43="DNS",F43=""),"-",VLOOKUP(C43,'FERDİ SONUÇ'!$B$6:$H$862,7,0))</f>
        <v>72</v>
      </c>
      <c r="I43" s="18">
        <f>IF(ISERROR(SMALL(H42:H45,2)),"-",SMALL(H42:H45,2))</f>
        <v>70</v>
      </c>
      <c r="J43" s="19"/>
      <c r="BA43" s="2">
        <v>1055</v>
      </c>
      <c r="BB43" s="51"/>
    </row>
    <row r="44" spans="1:54" ht="15" customHeight="1">
      <c r="A44" s="30">
        <f>IF(AND(B44&lt;&gt;"",J44&lt;&gt;"DQ"),COUNT(J$6:J$245)-(RANK(J44,J$6:J$245)+COUNTIF(J$6:J44,J44))+2,IF(C42&lt;&gt;"",BA44,""))</f>
        <v>20</v>
      </c>
      <c r="B44" s="14" t="str">
        <f>IF(ISERROR(VLOOKUP(C42,'START LİSTE'!$B$6:$F$1027,3,0)),"",VLOOKUP(C42,'START LİSTE'!$B$6:$F$1027,3,0))</f>
        <v>DÜZCE</v>
      </c>
      <c r="C44" s="141">
        <v>35</v>
      </c>
      <c r="D44" s="15" t="str">
        <f>IF(ISERROR(VLOOKUP($C44,'START LİSTE'!$B$6:$F$1027,2,0)),"",VLOOKUP($C44,'START LİSTE'!$B$6:$F$1027,2,0))</f>
        <v>DURMUŞCAN ARICI</v>
      </c>
      <c r="E44" s="16" t="str">
        <f>IF(ISERROR(VLOOKUP($C44,'START LİSTE'!$B$6:$F$1027,4,0)),"",VLOOKUP($C44,'START LİSTE'!$B$6:$F$1027,4,0))</f>
        <v>T</v>
      </c>
      <c r="F44" s="108" t="str">
        <f>IF(ISERROR(VLOOKUP($C44,'FERDİ SONUÇ'!$B$6:$H$862,6,0)),"",VLOOKUP($C44,'FERDİ SONUÇ'!$B$6:$H$862,6,0))</f>
        <v>-</v>
      </c>
      <c r="G44" s="16">
        <f>IF(OR(E44="",F44="DQ",F44="DNF",F44="DNS",F44=""),"-",VLOOKUP(C44,'FERDİ SONUÇ'!$B$6:$H$862,7,0))</f>
        <v>70</v>
      </c>
      <c r="H44" s="16">
        <f>IF(OR(E44="",E44="F",F44="DQ",F44="DNF",F44="DNS",F44=""),"-",VLOOKUP(C44,'FERDİ SONUÇ'!$B$6:$H$862,7,0))</f>
        <v>70</v>
      </c>
      <c r="I44" s="18">
        <f>IF(ISERROR(SMALL(H42:H45,3)),"-",SMALL(H42:H45,3))</f>
        <v>72</v>
      </c>
      <c r="J44" s="20">
        <f>IF(C42="","",IF(OR(I42="-",I43="-",I44="-"),"DQ",SUM(I42,I43,I44)))</f>
        <v>190</v>
      </c>
      <c r="BA44" s="2">
        <v>1056</v>
      </c>
      <c r="BB44" s="51"/>
    </row>
    <row r="45" spans="1:54" ht="15" customHeight="1">
      <c r="A45" s="13"/>
      <c r="B45" s="14"/>
      <c r="C45" s="141">
        <v>36</v>
      </c>
      <c r="D45" s="15" t="str">
        <f>IF(ISERROR(VLOOKUP($C45,'START LİSTE'!$B$6:$F$1027,2,0)),"",VLOOKUP($C45,'START LİSTE'!$B$6:$F$1027,2,0))</f>
        <v>EMİRHAN DİNER</v>
      </c>
      <c r="E45" s="16" t="str">
        <f>IF(ISERROR(VLOOKUP($C45,'START LİSTE'!$B$6:$F$1027,4,0)),"",VLOOKUP($C45,'START LİSTE'!$B$6:$F$1027,4,0))</f>
        <v>T</v>
      </c>
      <c r="F45" s="108" t="str">
        <f>IF(ISERROR(VLOOKUP($C45,'FERDİ SONUÇ'!$B$6:$H$862,6,0)),"",VLOOKUP($C45,'FERDİ SONUÇ'!$B$6:$H$862,6,0))</f>
        <v>-</v>
      </c>
      <c r="G45" s="16">
        <f>IF(OR(E45="",F45="DQ",F45="DNF",F45="DNS",F45=""),"-",VLOOKUP(C45,'FERDİ SONUÇ'!$B$6:$H$862,7,0))</f>
        <v>73</v>
      </c>
      <c r="H45" s="16">
        <f>IF(OR(E45="",E45="F",F45="DQ",F45="DNF",F45="DNS",F45=""),"-",VLOOKUP(C45,'FERDİ SONUÇ'!$B$6:$H$862,7,0))</f>
        <v>73</v>
      </c>
      <c r="I45" s="18">
        <f>IF(ISERROR(SMALL(H42:H45,4)),"-",SMALL(H42:H45,4))</f>
        <v>73</v>
      </c>
      <c r="J45" s="19"/>
      <c r="BA45" s="2">
        <v>1057</v>
      </c>
      <c r="BB45" s="52"/>
    </row>
    <row r="46" spans="1:54" ht="15" customHeight="1">
      <c r="A46" s="6"/>
      <c r="B46" s="7"/>
      <c r="C46" s="140">
        <v>37</v>
      </c>
      <c r="D46" s="8" t="str">
        <f>IF(ISERROR(VLOOKUP($C46,'START LİSTE'!$B$6:$F$1027,2,0)),"",VLOOKUP($C46,'START LİSTE'!$B$6:$F$1027,2,0))</f>
        <v>ÖMER SEDAR CAN</v>
      </c>
      <c r="E46" s="9" t="str">
        <f>IF(ISERROR(VLOOKUP($C46,'START LİSTE'!$B$6:$F$1027,4,0)),"",VLOOKUP($C46,'START LİSTE'!$B$6:$F$1027,4,0))</f>
        <v>T</v>
      </c>
      <c r="F46" s="107" t="str">
        <f>IF(ISERROR(VLOOKUP($C46,'FERDİ SONUÇ'!$B$6:$H$862,6,0)),"",VLOOKUP($C46,'FERDİ SONUÇ'!$B$6:$H$862,6,0))</f>
        <v>DNF</v>
      </c>
      <c r="G46" s="9" t="str">
        <f>IF(OR(E46="",F46="DQ",F46="DNF",F46="DNS",F46=""),"-",VLOOKUP(C46,'FERDİ SONUÇ'!$B$6:$H$862,7,0))</f>
        <v>-</v>
      </c>
      <c r="H46" s="9" t="str">
        <f>IF(OR(E46="",E46="F",F46="DQ",F46="DNF",F46="DNS",F46=""),"-",VLOOKUP(C46,'FERDİ SONUÇ'!$B$6:$H$862,7,0))</f>
        <v>-</v>
      </c>
      <c r="I46" s="11">
        <f>IF(ISERROR(SMALL(H46:H49,1)),"-",SMALL(H46:H49,1))</f>
        <v>10</v>
      </c>
      <c r="J46" s="12"/>
      <c r="BA46" s="2">
        <v>1060</v>
      </c>
      <c r="BB46" s="50"/>
    </row>
    <row r="47" spans="1:54" ht="15" customHeight="1">
      <c r="A47" s="13"/>
      <c r="B47" s="14"/>
      <c r="C47" s="141">
        <v>38</v>
      </c>
      <c r="D47" s="15" t="str">
        <f>IF(ISERROR(VLOOKUP($C47,'START LİSTE'!$B$6:$F$1027,2,0)),"",VLOOKUP($C47,'START LİSTE'!$B$6:$F$1027,2,0))</f>
        <v>ABDULLAH KILIÇ</v>
      </c>
      <c r="E47" s="16" t="str">
        <f>IF(ISERROR(VLOOKUP($C47,'START LİSTE'!$B$6:$F$1027,4,0)),"",VLOOKUP($C47,'START LİSTE'!$B$6:$F$1027,4,0))</f>
        <v>T</v>
      </c>
      <c r="F47" s="108">
        <f>IF(ISERROR(VLOOKUP($C47,'FERDİ SONUÇ'!$B$6:$H$862,6,0)),"",VLOOKUP($C47,'FERDİ SONUÇ'!$B$6:$H$862,6,0))</f>
        <v>705</v>
      </c>
      <c r="G47" s="16">
        <f>IF(OR(E47="",F47="DQ",F47="DNF",F47="DNS",F47=""),"-",VLOOKUP(C47,'FERDİ SONUÇ'!$B$6:$H$862,7,0))</f>
        <v>10</v>
      </c>
      <c r="H47" s="16">
        <f>IF(OR(E47="",E47="F",F47="DQ",F47="DNF",F47="DNS",F47=""),"-",VLOOKUP(C47,'FERDİ SONUÇ'!$B$6:$H$862,7,0))</f>
        <v>10</v>
      </c>
      <c r="I47" s="18">
        <f>IF(ISERROR(SMALL(H46:H49,2)),"-",SMALL(H46:H49,2))</f>
        <v>74</v>
      </c>
      <c r="J47" s="19"/>
      <c r="BA47" s="2">
        <v>1061</v>
      </c>
      <c r="BB47" s="51"/>
    </row>
    <row r="48" spans="1:54" ht="15" customHeight="1">
      <c r="A48" s="30">
        <f>IF(AND(B48&lt;&gt;"",J48&lt;&gt;"DQ"),COUNT(J$6:J$245)-(RANK(J48,J$6:J$245)+COUNTIF(J$6:J48,J48))+2,IF(C46&lt;&gt;"",BA48,""))</f>
        <v>1062</v>
      </c>
      <c r="B48" s="14" t="str">
        <f>IF(ISERROR(VLOOKUP(C46,'START LİSTE'!$B$6:$F$1027,3,0)),"",VLOOKUP(C46,'START LİSTE'!$B$6:$F$1027,3,0))</f>
        <v>ELAZIĞ</v>
      </c>
      <c r="C48" s="141">
        <v>39</v>
      </c>
      <c r="D48" s="15" t="str">
        <f>IF(ISERROR(VLOOKUP($C48,'START LİSTE'!$B$6:$F$1027,2,0)),"",VLOOKUP($C48,'START LİSTE'!$B$6:$F$1027,2,0))</f>
        <v>MUSA ÖZDEMİR</v>
      </c>
      <c r="E48" s="16" t="str">
        <f>IF(ISERROR(VLOOKUP($C48,'START LİSTE'!$B$6:$F$1027,4,0)),"",VLOOKUP($C48,'START LİSTE'!$B$6:$F$1027,4,0))</f>
        <v>T</v>
      </c>
      <c r="F48" s="108" t="str">
        <f>IF(ISERROR(VLOOKUP($C48,'FERDİ SONUÇ'!$B$6:$H$862,6,0)),"",VLOOKUP($C48,'FERDİ SONUÇ'!$B$6:$H$862,6,0))</f>
        <v>-</v>
      </c>
      <c r="G48" s="16">
        <f>IF(OR(E48="",F48="DQ",F48="DNF",F48="DNS",F48=""),"-",VLOOKUP(C48,'FERDİ SONUÇ'!$B$6:$H$862,7,0))</f>
        <v>74</v>
      </c>
      <c r="H48" s="16">
        <f>IF(OR(E48="",E48="F",F48="DQ",F48="DNF",F48="DNS",F48=""),"-",VLOOKUP(C48,'FERDİ SONUÇ'!$B$6:$H$862,7,0))</f>
        <v>74</v>
      </c>
      <c r="I48" s="18" t="str">
        <f>IF(ISERROR(SMALL(H46:H49,3)),"-",SMALL(H46:H49,3))</f>
        <v>-</v>
      </c>
      <c r="J48" s="20" t="str">
        <f>IF(C46="","",IF(OR(I46="-",I47="-",I48="-"),"DQ",SUM(I46,I47,I48)))</f>
        <v>DQ</v>
      </c>
      <c r="BA48" s="2">
        <v>1062</v>
      </c>
      <c r="BB48" s="51"/>
    </row>
    <row r="49" spans="1:54" ht="15" customHeight="1">
      <c r="A49" s="13"/>
      <c r="B49" s="14"/>
      <c r="C49" s="141">
        <v>40</v>
      </c>
      <c r="D49" s="15" t="str">
        <f>IF(ISERROR(VLOOKUP($C49,'START LİSTE'!$B$6:$F$1027,2,0)),"",VLOOKUP($C49,'START LİSTE'!$B$6:$F$1027,2,0))</f>
        <v>ZÜLKÜF ZEREN</v>
      </c>
      <c r="E49" s="16" t="str">
        <f>IF(ISERROR(VLOOKUP($C49,'START LİSTE'!$B$6:$F$1027,4,0)),"",VLOOKUP($C49,'START LİSTE'!$B$6:$F$1027,4,0))</f>
        <v>T</v>
      </c>
      <c r="F49" s="108" t="str">
        <f>IF(ISERROR(VLOOKUP($C49,'FERDİ SONUÇ'!$B$6:$H$862,6,0)),"",VLOOKUP($C49,'FERDİ SONUÇ'!$B$6:$H$862,6,0))</f>
        <v>DNS</v>
      </c>
      <c r="G49" s="16" t="str">
        <f>IF(OR(E49="",F49="DQ",F49="DNF",F49="DNS",F49=""),"-",VLOOKUP(C49,'FERDİ SONUÇ'!$B$6:$H$862,7,0))</f>
        <v>-</v>
      </c>
      <c r="H49" s="16" t="str">
        <f>IF(OR(E49="",E49="F",F49="DQ",F49="DNF",F49="DNS",F49=""),"-",VLOOKUP(C49,'FERDİ SONUÇ'!$B$6:$H$862,7,0))</f>
        <v>-</v>
      </c>
      <c r="I49" s="18" t="str">
        <f>IF(ISERROR(SMALL(H46:H49,4)),"-",SMALL(H46:H49,4))</f>
        <v>-</v>
      </c>
      <c r="J49" s="19"/>
      <c r="BA49" s="2">
        <v>1063</v>
      </c>
      <c r="BB49" s="52"/>
    </row>
    <row r="50" spans="1:54" ht="15" customHeight="1">
      <c r="A50" s="6"/>
      <c r="B50" s="7"/>
      <c r="C50" s="140">
        <v>41</v>
      </c>
      <c r="D50" s="8" t="str">
        <f>IF(ISERROR(VLOOKUP($C50,'START LİSTE'!$B$6:$F$1027,2,0)),"",VLOOKUP($C50,'START LİSTE'!$B$6:$F$1027,2,0))</f>
        <v>ONUR AZİZ CAN</v>
      </c>
      <c r="E50" s="9" t="str">
        <f>IF(ISERROR(VLOOKUP($C50,'START LİSTE'!$B$6:$F$1027,4,0)),"",VLOOKUP($C50,'START LİSTE'!$B$6:$F$1027,4,0))</f>
        <v>T</v>
      </c>
      <c r="F50" s="107" t="str">
        <f>IF(ISERROR(VLOOKUP($C50,'FERDİ SONUÇ'!$B$6:$H$862,6,0)),"",VLOOKUP($C50,'FERDİ SONUÇ'!$B$6:$H$862,6,0))</f>
        <v>DNF</v>
      </c>
      <c r="G50" s="9" t="str">
        <f>IF(OR(E50="",F50="DQ",F50="DNF",F50="DNS",F50=""),"-",VLOOKUP(C50,'FERDİ SONUÇ'!$B$6:$H$862,7,0))</f>
        <v>-</v>
      </c>
      <c r="H50" s="9" t="str">
        <f>IF(OR(E50="",E50="F",F50="DQ",F50="DNF",F50="DNS",F50=""),"-",VLOOKUP(C50,'FERDİ SONUÇ'!$B$6:$H$862,7,0))</f>
        <v>-</v>
      </c>
      <c r="I50" s="11">
        <f>IF(ISERROR(SMALL(H50:H53,1)),"-",SMALL(H50:H53,1))</f>
        <v>44</v>
      </c>
      <c r="J50" s="12"/>
      <c r="BA50" s="2">
        <v>1066</v>
      </c>
      <c r="BB50" s="50"/>
    </row>
    <row r="51" spans="1:54" ht="15" customHeight="1">
      <c r="A51" s="13"/>
      <c r="B51" s="14"/>
      <c r="C51" s="141">
        <v>42</v>
      </c>
      <c r="D51" s="15" t="str">
        <f>IF(ISERROR(VLOOKUP($C51,'START LİSTE'!$B$6:$F$1027,2,0)),"",VLOOKUP($C51,'START LİSTE'!$B$6:$F$1027,2,0))</f>
        <v>ENES KELEŞ</v>
      </c>
      <c r="E51" s="16" t="str">
        <f>IF(ISERROR(VLOOKUP($C51,'START LİSTE'!$B$6:$F$1027,4,0)),"",VLOOKUP($C51,'START LİSTE'!$B$6:$F$1027,4,0))</f>
        <v>T</v>
      </c>
      <c r="F51" s="108" t="str">
        <f>IF(ISERROR(VLOOKUP($C51,'FERDİ SONUÇ'!$B$6:$H$862,6,0)),"",VLOOKUP($C51,'FERDİ SONUÇ'!$B$6:$H$862,6,0))</f>
        <v>DNF</v>
      </c>
      <c r="G51" s="16" t="str">
        <f>IF(OR(E51="",F51="DQ",F51="DNF",F51="DNS",F51=""),"-",VLOOKUP(C51,'FERDİ SONUÇ'!$B$6:$H$862,7,0))</f>
        <v>-</v>
      </c>
      <c r="H51" s="16" t="str">
        <f>IF(OR(E51="",E51="F",F51="DQ",F51="DNF",F51="DNS",F51=""),"-",VLOOKUP(C51,'FERDİ SONUÇ'!$B$6:$H$862,7,0))</f>
        <v>-</v>
      </c>
      <c r="I51" s="18" t="str">
        <f>IF(ISERROR(SMALL(H50:H53,2)),"-",SMALL(H50:H53,2))</f>
        <v>-</v>
      </c>
      <c r="J51" s="19"/>
      <c r="BA51" s="2">
        <v>1067</v>
      </c>
      <c r="BB51" s="51"/>
    </row>
    <row r="52" spans="1:54" ht="15" customHeight="1">
      <c r="A52" s="30">
        <f>IF(AND(B52&lt;&gt;"",J52&lt;&gt;"DQ"),COUNT(J$6:J$245)-(RANK(J52,J$6:J$245)+COUNTIF(J$6:J52,J52))+2,IF(C50&lt;&gt;"",BA52,""))</f>
        <v>1068</v>
      </c>
      <c r="B52" s="14" t="str">
        <f>IF(ISERROR(VLOOKUP(C50,'START LİSTE'!$B$6:$F$1027,3,0)),"",VLOOKUP(C50,'START LİSTE'!$B$6:$F$1027,3,0))</f>
        <v>ERZİNCAN</v>
      </c>
      <c r="C52" s="141">
        <v>43</v>
      </c>
      <c r="D52" s="15" t="str">
        <f>IF(ISERROR(VLOOKUP($C52,'START LİSTE'!$B$6:$F$1027,2,0)),"",VLOOKUP($C52,'START LİSTE'!$B$6:$F$1027,2,0))</f>
        <v>YAKUP KELEŞ</v>
      </c>
      <c r="E52" s="16" t="str">
        <f>IF(ISERROR(VLOOKUP($C52,'START LİSTE'!$B$6:$F$1027,4,0)),"",VLOOKUP($C52,'START LİSTE'!$B$6:$F$1027,4,0))</f>
        <v>T</v>
      </c>
      <c r="F52" s="108" t="str">
        <f>IF(ISERROR(VLOOKUP($C52,'FERDİ SONUÇ'!$B$6:$H$862,6,0)),"",VLOOKUP($C52,'FERDİ SONUÇ'!$B$6:$H$862,6,0))</f>
        <v>-</v>
      </c>
      <c r="G52" s="16">
        <f>IF(OR(E52="",F52="DQ",F52="DNF",F52="DNS",F52=""),"-",VLOOKUP(C52,'FERDİ SONUÇ'!$B$6:$H$862,7,0))</f>
        <v>44</v>
      </c>
      <c r="H52" s="16">
        <f>IF(OR(E52="",E52="F",F52="DQ",F52="DNF",F52="DNS",F52=""),"-",VLOOKUP(C52,'FERDİ SONUÇ'!$B$6:$H$862,7,0))</f>
        <v>44</v>
      </c>
      <c r="I52" s="18" t="str">
        <f>IF(ISERROR(SMALL(H50:H53,3)),"-",SMALL(H50:H53,3))</f>
        <v>-</v>
      </c>
      <c r="J52" s="20" t="str">
        <f>IF(C50="","",IF(OR(I50="-",I51="-",I52="-"),"DQ",SUM(I50,I51,I52)))</f>
        <v>DQ</v>
      </c>
      <c r="BA52" s="2">
        <v>1068</v>
      </c>
      <c r="BB52" s="51"/>
    </row>
    <row r="53" spans="1:54" ht="15" customHeight="1">
      <c r="A53" s="13"/>
      <c r="B53" s="14"/>
      <c r="C53" s="141">
        <v>44</v>
      </c>
      <c r="D53" s="15" t="str">
        <f>IF(ISERROR(VLOOKUP($C53,'START LİSTE'!$B$6:$F$1027,2,0)),"",VLOOKUP($C53,'START LİSTE'!$B$6:$F$1027,2,0))</f>
        <v>TAHİR YILDIRIM</v>
      </c>
      <c r="E53" s="16" t="str">
        <f>IF(ISERROR(VLOOKUP($C53,'START LİSTE'!$B$6:$F$1027,4,0)),"",VLOOKUP($C53,'START LİSTE'!$B$6:$F$1027,4,0))</f>
        <v>T</v>
      </c>
      <c r="F53" s="108" t="str">
        <f>IF(ISERROR(VLOOKUP($C53,'FERDİ SONUÇ'!$B$6:$H$862,6,0)),"",VLOOKUP($C53,'FERDİ SONUÇ'!$B$6:$H$862,6,0))</f>
        <v>DNF</v>
      </c>
      <c r="G53" s="16" t="str">
        <f>IF(OR(E53="",F53="DQ",F53="DNF",F53="DNS",F53=""),"-",VLOOKUP(C53,'FERDİ SONUÇ'!$B$6:$H$862,7,0))</f>
        <v>-</v>
      </c>
      <c r="H53" s="16" t="str">
        <f>IF(OR(E53="",E53="F",F53="DQ",F53="DNF",F53="DNS",F53=""),"-",VLOOKUP(C53,'FERDİ SONUÇ'!$B$6:$H$862,7,0))</f>
        <v>-</v>
      </c>
      <c r="I53" s="18" t="str">
        <f>IF(ISERROR(SMALL(H50:H53,4)),"-",SMALL(H50:H53,4))</f>
        <v>-</v>
      </c>
      <c r="J53" s="19"/>
      <c r="BA53" s="2">
        <v>1069</v>
      </c>
      <c r="BB53" s="52"/>
    </row>
    <row r="54" spans="1:54" ht="15" customHeight="1">
      <c r="A54" s="6"/>
      <c r="B54" s="7"/>
      <c r="C54" s="140">
        <v>45</v>
      </c>
      <c r="D54" s="8" t="str">
        <f>IF(ISERROR(VLOOKUP($C54,'START LİSTE'!$B$6:$F$1027,2,0)),"",VLOOKUP($C54,'START LİSTE'!$B$6:$F$1027,2,0))</f>
        <v>ÖZKAN DENİZ</v>
      </c>
      <c r="E54" s="9" t="str">
        <f>IF(ISERROR(VLOOKUP($C54,'START LİSTE'!$B$6:$F$1027,4,0)),"",VLOOKUP($C54,'START LİSTE'!$B$6:$F$1027,4,0))</f>
        <v>T</v>
      </c>
      <c r="F54" s="107">
        <f>IF(ISERROR(VLOOKUP($C54,'FERDİ SONUÇ'!$B$6:$H$862,6,0)),"",VLOOKUP($C54,'FERDİ SONUÇ'!$B$6:$H$862,6,0))</f>
        <v>627</v>
      </c>
      <c r="G54" s="9">
        <f>IF(OR(E54="",F54="DQ",F54="DNF",F54="DNS",F54=""),"-",VLOOKUP(C54,'FERDİ SONUÇ'!$B$6:$H$862,7,0))</f>
        <v>1</v>
      </c>
      <c r="H54" s="9">
        <f>IF(OR(E54="",E54="F",F54="DQ",F54="DNF",F54="DNS",F54=""),"-",VLOOKUP(C54,'FERDİ SONUÇ'!$B$6:$H$862,7,0))</f>
        <v>1</v>
      </c>
      <c r="I54" s="11">
        <f>IF(ISERROR(SMALL(H54:H57,1)),"-",SMALL(H54:H57,1))</f>
        <v>1</v>
      </c>
      <c r="J54" s="12"/>
      <c r="BA54" s="2">
        <v>1072</v>
      </c>
      <c r="BB54" s="50"/>
    </row>
    <row r="55" spans="1:54" ht="15" customHeight="1">
      <c r="A55" s="13"/>
      <c r="B55" s="14"/>
      <c r="C55" s="141">
        <v>46</v>
      </c>
      <c r="D55" s="15" t="str">
        <f>IF(ISERROR(VLOOKUP($C55,'START LİSTE'!$B$6:$F$1027,2,0)),"",VLOOKUP($C55,'START LİSTE'!$B$6:$F$1027,2,0))</f>
        <v>ENBİYA YAZICI</v>
      </c>
      <c r="E55" s="16" t="str">
        <f>IF(ISERROR(VLOOKUP($C55,'START LİSTE'!$B$6:$F$1027,4,0)),"",VLOOKUP($C55,'START LİSTE'!$B$6:$F$1027,4,0))</f>
        <v>T</v>
      </c>
      <c r="F55" s="108">
        <f>IF(ISERROR(VLOOKUP($C55,'FERDİ SONUÇ'!$B$6:$H$862,6,0)),"",VLOOKUP($C55,'FERDİ SONUÇ'!$B$6:$H$862,6,0))</f>
        <v>646</v>
      </c>
      <c r="G55" s="16">
        <f>IF(OR(E55="",F55="DQ",F55="DNF",F55="DNS",F55=""),"-",VLOOKUP(C55,'FERDİ SONUÇ'!$B$6:$H$862,7,0))</f>
        <v>5</v>
      </c>
      <c r="H55" s="16">
        <f>IF(OR(E55="",E55="F",F55="DQ",F55="DNF",F55="DNS",F55=""),"-",VLOOKUP(C55,'FERDİ SONUÇ'!$B$6:$H$862,7,0))</f>
        <v>5</v>
      </c>
      <c r="I55" s="18">
        <f>IF(ISERROR(SMALL(H54:H57,2)),"-",SMALL(H54:H57,2))</f>
        <v>5</v>
      </c>
      <c r="J55" s="19"/>
      <c r="BA55" s="2">
        <v>1073</v>
      </c>
      <c r="BB55" s="51"/>
    </row>
    <row r="56" spans="1:54" ht="15" customHeight="1">
      <c r="A56" s="30">
        <f>IF(AND(B56&lt;&gt;"",J56&lt;&gt;"DQ"),COUNT(J$6:J$245)-(RANK(J56,J$6:J$245)+COUNTIF(J$6:J56,J56))+2,IF(C54&lt;&gt;"",BA56,""))</f>
        <v>2</v>
      </c>
      <c r="B56" s="14" t="str">
        <f>IF(ISERROR(VLOOKUP(C54,'START LİSTE'!$B$6:$F$1027,3,0)),"",VLOOKUP(C54,'START LİSTE'!$B$6:$F$1027,3,0))</f>
        <v>ERZURUM</v>
      </c>
      <c r="C56" s="141">
        <v>47</v>
      </c>
      <c r="D56" s="15" t="str">
        <f>IF(ISERROR(VLOOKUP($C56,'START LİSTE'!$B$6:$F$1027,2,0)),"",VLOOKUP($C56,'START LİSTE'!$B$6:$F$1027,2,0))</f>
        <v>MENSUR ÖZDEMİR</v>
      </c>
      <c r="E56" s="16" t="str">
        <f>IF(ISERROR(VLOOKUP($C56,'START LİSTE'!$B$6:$F$1027,4,0)),"",VLOOKUP($C56,'START LİSTE'!$B$6:$F$1027,4,0))</f>
        <v>T</v>
      </c>
      <c r="F56" s="108" t="str">
        <f>IF(ISERROR(VLOOKUP($C56,'FERDİ SONUÇ'!$B$6:$H$862,6,0)),"",VLOOKUP($C56,'FERDİ SONUÇ'!$B$6:$H$862,6,0))</f>
        <v>-</v>
      </c>
      <c r="G56" s="16">
        <f>IF(OR(E56="",F56="DQ",F56="DNF",F56="DNS",F56=""),"-",VLOOKUP(C56,'FERDİ SONUÇ'!$B$6:$H$862,7,0))</f>
        <v>28</v>
      </c>
      <c r="H56" s="16">
        <f>IF(OR(E56="",E56="F",F56="DQ",F56="DNF",F56="DNS",F56=""),"-",VLOOKUP(C56,'FERDİ SONUÇ'!$B$6:$H$862,7,0))</f>
        <v>28</v>
      </c>
      <c r="I56" s="18">
        <f>IF(ISERROR(SMALL(H54:H57,3)),"-",SMALL(H54:H57,3))</f>
        <v>19</v>
      </c>
      <c r="J56" s="20">
        <f>IF(C54="","",IF(OR(I54="-",I55="-",I56="-"),"DQ",SUM(I54,I55,I56)))</f>
        <v>25</v>
      </c>
      <c r="BA56" s="2">
        <v>1074</v>
      </c>
      <c r="BB56" s="51"/>
    </row>
    <row r="57" spans="1:54" ht="15" customHeight="1">
      <c r="A57" s="13"/>
      <c r="B57" s="14"/>
      <c r="C57" s="141">
        <v>101</v>
      </c>
      <c r="D57" s="15" t="str">
        <f>IF(ISERROR(VLOOKUP($C57,'START LİSTE'!$B$6:$F$1027,2,0)),"",VLOOKUP($C57,'START LİSTE'!$B$6:$F$1027,2,0))</f>
        <v>MERT ÇAVUŞ</v>
      </c>
      <c r="E57" s="16" t="str">
        <f>IF(ISERROR(VLOOKUP($C57,'START LİSTE'!$B$6:$F$1027,4,0)),"",VLOOKUP($C57,'START LİSTE'!$B$6:$F$1027,4,0))</f>
        <v>T</v>
      </c>
      <c r="F57" s="108">
        <f>IF(ISERROR(VLOOKUP($C57,'FERDİ SONUÇ'!$B$6:$H$862,6,0)),"",VLOOKUP($C57,'FERDİ SONUÇ'!$B$6:$H$862,6,0))</f>
        <v>716</v>
      </c>
      <c r="G57" s="16">
        <f>IF(OR(E57="",F57="DQ",F57="DNF",F57="DNS",F57=""),"-",VLOOKUP(C57,'FERDİ SONUÇ'!$B$6:$H$862,7,0))</f>
        <v>19</v>
      </c>
      <c r="H57" s="16">
        <f>IF(OR(E57="",E57="F",F57="DQ",F57="DNF",F57="DNS",F57=""),"-",VLOOKUP(C57,'FERDİ SONUÇ'!$B$6:$H$862,7,0))</f>
        <v>19</v>
      </c>
      <c r="I57" s="18">
        <f>IF(ISERROR(SMALL(H54:H57,4)),"-",SMALL(H54:H57,4))</f>
        <v>28</v>
      </c>
      <c r="J57" s="19"/>
      <c r="BA57" s="2">
        <v>1075</v>
      </c>
      <c r="BB57" s="52"/>
    </row>
    <row r="58" spans="1:54" ht="15" customHeight="1">
      <c r="A58" s="6"/>
      <c r="B58" s="7"/>
      <c r="C58" s="140">
        <v>48</v>
      </c>
      <c r="D58" s="8" t="str">
        <f>IF(ISERROR(VLOOKUP($C58,'START LİSTE'!$B$6:$F$1027,2,0)),"",VLOOKUP($C58,'START LİSTE'!$B$6:$F$1027,2,0))</f>
        <v>FERHAT TAŞDEMİR</v>
      </c>
      <c r="E58" s="9" t="str">
        <f>IF(ISERROR(VLOOKUP($C58,'START LİSTE'!$B$6:$F$1027,4,0)),"",VLOOKUP($C58,'START LİSTE'!$B$6:$F$1027,4,0))</f>
        <v>T</v>
      </c>
      <c r="F58" s="107" t="str">
        <f>IF(ISERROR(VLOOKUP($C58,'FERDİ SONUÇ'!$B$6:$H$862,6,0)),"",VLOOKUP($C58,'FERDİ SONUÇ'!$B$6:$H$862,6,0))</f>
        <v>-</v>
      </c>
      <c r="G58" s="9">
        <f>IF(OR(E58="",F58="DQ",F58="DNF",F58="DNS",F58=""),"-",VLOOKUP(C58,'FERDİ SONUÇ'!$B$6:$H$862,7,0))</f>
        <v>45</v>
      </c>
      <c r="H58" s="9">
        <f>IF(OR(E58="",E58="F",F58="DQ",F58="DNF",F58="DNS",F58=""),"-",VLOOKUP(C58,'FERDİ SONUÇ'!$B$6:$H$862,7,0))</f>
        <v>45</v>
      </c>
      <c r="I58" s="11">
        <f>IF(ISERROR(SMALL(H58:H61,1)),"-",SMALL(H58:H61,1))</f>
        <v>45</v>
      </c>
      <c r="J58" s="12"/>
      <c r="BA58" s="2">
        <v>1078</v>
      </c>
      <c r="BB58" s="50"/>
    </row>
    <row r="59" spans="1:54" ht="15" customHeight="1">
      <c r="A59" s="13"/>
      <c r="B59" s="14"/>
      <c r="C59" s="141">
        <v>49</v>
      </c>
      <c r="D59" s="15" t="str">
        <f>IF(ISERROR(VLOOKUP($C59,'START LİSTE'!$B$6:$F$1027,2,0)),"",VLOOKUP($C59,'START LİSTE'!$B$6:$F$1027,2,0))</f>
        <v>YUSUF TALHA YALÇINKAYA</v>
      </c>
      <c r="E59" s="16" t="str">
        <f>IF(ISERROR(VLOOKUP($C59,'START LİSTE'!$B$6:$F$1027,4,0)),"",VLOOKUP($C59,'START LİSTE'!$B$6:$F$1027,4,0))</f>
        <v>T</v>
      </c>
      <c r="F59" s="108" t="str">
        <f>IF(ISERROR(VLOOKUP($C59,'FERDİ SONUÇ'!$B$6:$H$862,6,0)),"",VLOOKUP($C59,'FERDİ SONUÇ'!$B$6:$H$862,6,0))</f>
        <v>-</v>
      </c>
      <c r="G59" s="16">
        <f>IF(OR(E59="",F59="DQ",F59="DNF",F59="DNS",F59=""),"-",VLOOKUP(C59,'FERDİ SONUÇ'!$B$6:$H$862,7,0))</f>
        <v>62</v>
      </c>
      <c r="H59" s="16">
        <f>IF(OR(E59="",E59="F",F59="DQ",F59="DNF",F59="DNS",F59=""),"-",VLOOKUP(C59,'FERDİ SONUÇ'!$B$6:$H$862,7,0))</f>
        <v>62</v>
      </c>
      <c r="I59" s="18">
        <f>IF(ISERROR(SMALL(H58:H61,2)),"-",SMALL(H58:H61,2))</f>
        <v>62</v>
      </c>
      <c r="J59" s="19"/>
      <c r="BA59" s="2">
        <v>1079</v>
      </c>
      <c r="BB59" s="51"/>
    </row>
    <row r="60" spans="1:54" ht="15" customHeight="1">
      <c r="A60" s="30">
        <f>IF(AND(B60&lt;&gt;"",J60&lt;&gt;"DQ"),COUNT(J$6:J$245)-(RANK(J60,J$6:J$245)+COUNTIF(J$6:J60,J60))+2,IF(C58&lt;&gt;"",BA60,""))</f>
        <v>1080</v>
      </c>
      <c r="B60" s="14" t="str">
        <f>IF(ISERROR(VLOOKUP(C58,'START LİSTE'!$B$6:$F$1027,3,0)),"",VLOOKUP(C58,'START LİSTE'!$B$6:$F$1027,3,0))</f>
        <v>ESKİŞEHİR</v>
      </c>
      <c r="C60" s="141">
        <v>50</v>
      </c>
      <c r="D60" s="15" t="str">
        <f>IF(ISERROR(VLOOKUP($C60,'START LİSTE'!$B$6:$F$1027,2,0)),"",VLOOKUP($C60,'START LİSTE'!$B$6:$F$1027,2,0))</f>
        <v>İLHAN ACAR</v>
      </c>
      <c r="E60" s="16" t="str">
        <f>IF(ISERROR(VLOOKUP($C60,'START LİSTE'!$B$6:$F$1027,4,0)),"",VLOOKUP($C60,'START LİSTE'!$B$6:$F$1027,4,0))</f>
        <v>T</v>
      </c>
      <c r="F60" s="108" t="str">
        <f>IF(ISERROR(VLOOKUP($C60,'FERDİ SONUÇ'!$B$6:$H$862,6,0)),"",VLOOKUP($C60,'FERDİ SONUÇ'!$B$6:$H$862,6,0))</f>
        <v>DNF</v>
      </c>
      <c r="G60" s="16" t="str">
        <f>IF(OR(E60="",F60="DQ",F60="DNF",F60="DNS",F60=""),"-",VLOOKUP(C60,'FERDİ SONUÇ'!$B$6:$H$862,7,0))</f>
        <v>-</v>
      </c>
      <c r="H60" s="16" t="str">
        <f>IF(OR(E60="",E60="F",F60="DQ",F60="DNF",F60="DNS",F60=""),"-",VLOOKUP(C60,'FERDİ SONUÇ'!$B$6:$H$862,7,0))</f>
        <v>-</v>
      </c>
      <c r="I60" s="18" t="str">
        <f>IF(ISERROR(SMALL(H58:H61,3)),"-",SMALL(H58:H61,3))</f>
        <v>-</v>
      </c>
      <c r="J60" s="20" t="str">
        <f>IF(C58="","",IF(OR(I58="-",I59="-",I60="-"),"DQ",SUM(I58,I59,I60)))</f>
        <v>DQ</v>
      </c>
      <c r="BA60" s="2">
        <v>1080</v>
      </c>
      <c r="BB60" s="51"/>
    </row>
    <row r="61" spans="1:54" ht="15" customHeight="1">
      <c r="A61" s="13"/>
      <c r="B61" s="14"/>
      <c r="C61" s="141">
        <v>51</v>
      </c>
      <c r="D61" s="15" t="str">
        <f>IF(ISERROR(VLOOKUP($C61,'START LİSTE'!$B$6:$F$1027,2,0)),"",VLOOKUP($C61,'START LİSTE'!$B$6:$F$1027,2,0))</f>
        <v>MESUT ÖZKAYA</v>
      </c>
      <c r="E61" s="16" t="str">
        <f>IF(ISERROR(VLOOKUP($C61,'START LİSTE'!$B$6:$F$1027,4,0)),"",VLOOKUP($C61,'START LİSTE'!$B$6:$F$1027,4,0))</f>
        <v>T</v>
      </c>
      <c r="F61" s="108" t="str">
        <f>IF(ISERROR(VLOOKUP($C61,'FERDİ SONUÇ'!$B$6:$H$862,6,0)),"",VLOOKUP($C61,'FERDİ SONUÇ'!$B$6:$H$862,6,0))</f>
        <v>DNF</v>
      </c>
      <c r="G61" s="16" t="str">
        <f>IF(OR(E61="",F61="DQ",F61="DNF",F61="DNS",F61=""),"-",VLOOKUP(C61,'FERDİ SONUÇ'!$B$6:$H$862,7,0))</f>
        <v>-</v>
      </c>
      <c r="H61" s="16" t="str">
        <f>IF(OR(E61="",E61="F",F61="DQ",F61="DNF",F61="DNS",F61=""),"-",VLOOKUP(C61,'FERDİ SONUÇ'!$B$6:$H$862,7,0))</f>
        <v>-</v>
      </c>
      <c r="I61" s="18" t="str">
        <f>IF(ISERROR(SMALL(H58:H61,4)),"-",SMALL(H58:H61,4))</f>
        <v>-</v>
      </c>
      <c r="J61" s="19"/>
      <c r="BA61" s="2">
        <v>1081</v>
      </c>
      <c r="BB61" s="52"/>
    </row>
    <row r="62" spans="1:54" ht="15" customHeight="1">
      <c r="A62" s="6"/>
      <c r="B62" s="7"/>
      <c r="C62" s="140">
        <v>52</v>
      </c>
      <c r="D62" s="8" t="str">
        <f>IF(ISERROR(VLOOKUP($C62,'START LİSTE'!$B$6:$F$1027,2,0)),"",VLOOKUP($C62,'START LİSTE'!$B$6:$F$1027,2,0))</f>
        <v>AHMET KELEK</v>
      </c>
      <c r="E62" s="9" t="str">
        <f>IF(ISERROR(VLOOKUP($C62,'START LİSTE'!$B$6:$F$1027,4,0)),"",VLOOKUP($C62,'START LİSTE'!$B$6:$F$1027,4,0))</f>
        <v>T</v>
      </c>
      <c r="F62" s="107" t="str">
        <f>IF(ISERROR(VLOOKUP($C62,'FERDİ SONUÇ'!$B$6:$H$862,6,0)),"",VLOOKUP($C62,'FERDİ SONUÇ'!$B$6:$H$862,6,0))</f>
        <v>DNF</v>
      </c>
      <c r="G62" s="9" t="str">
        <f>IF(OR(E62="",F62="DQ",F62="DNF",F62="DNS",F62=""),"-",VLOOKUP(C62,'FERDİ SONUÇ'!$B$6:$H$862,7,0))</f>
        <v>-</v>
      </c>
      <c r="H62" s="9" t="str">
        <f>IF(OR(E62="",E62="F",F62="DQ",F62="DNF",F62="DNS",F62=""),"-",VLOOKUP(C62,'FERDİ SONUÇ'!$B$6:$H$862,7,0))</f>
        <v>-</v>
      </c>
      <c r="I62" s="11">
        <f>IF(ISERROR(SMALL(H62:H65,1)),"-",SMALL(H62:H65,1))</f>
        <v>40</v>
      </c>
      <c r="J62" s="12"/>
      <c r="BA62" s="2">
        <v>1084</v>
      </c>
      <c r="BB62" s="50"/>
    </row>
    <row r="63" spans="1:54" ht="15" customHeight="1">
      <c r="A63" s="13"/>
      <c r="B63" s="14"/>
      <c r="C63" s="141">
        <v>53</v>
      </c>
      <c r="D63" s="15" t="str">
        <f>IF(ISERROR(VLOOKUP($C63,'START LİSTE'!$B$6:$F$1027,2,0)),"",VLOOKUP($C63,'START LİSTE'!$B$6:$F$1027,2,0))</f>
        <v>YAŞAR EMRE KOŞDAŞ</v>
      </c>
      <c r="E63" s="16" t="str">
        <f>IF(ISERROR(VLOOKUP($C63,'START LİSTE'!$B$6:$F$1027,4,0)),"",VLOOKUP($C63,'START LİSTE'!$B$6:$F$1027,4,0))</f>
        <v>T</v>
      </c>
      <c r="F63" s="108" t="str">
        <f>IF(ISERROR(VLOOKUP($C63,'FERDİ SONUÇ'!$B$6:$H$862,6,0)),"",VLOOKUP($C63,'FERDİ SONUÇ'!$B$6:$H$862,6,0))</f>
        <v>-</v>
      </c>
      <c r="G63" s="16">
        <f>IF(OR(E63="",F63="DQ",F63="DNF",F63="DNS",F63=""),"-",VLOOKUP(C63,'FERDİ SONUÇ'!$B$6:$H$862,7,0))</f>
        <v>40</v>
      </c>
      <c r="H63" s="16">
        <f>IF(OR(E63="",E63="F",F63="DQ",F63="DNF",F63="DNS",F63=""),"-",VLOOKUP(C63,'FERDİ SONUÇ'!$B$6:$H$862,7,0))</f>
        <v>40</v>
      </c>
      <c r="I63" s="18" t="str">
        <f>IF(ISERROR(SMALL(H62:H65,2)),"-",SMALL(H62:H65,2))</f>
        <v>-</v>
      </c>
      <c r="J63" s="19"/>
      <c r="BA63" s="2">
        <v>1085</v>
      </c>
      <c r="BB63" s="51"/>
    </row>
    <row r="64" spans="1:54" ht="15" customHeight="1">
      <c r="A64" s="30">
        <f>IF(AND(B64&lt;&gt;"",J64&lt;&gt;"DQ"),COUNT(J$6:J$245)-(RANK(J64,J$6:J$245)+COUNTIF(J$6:J64,J64))+2,IF(C62&lt;&gt;"",BA64,""))</f>
        <v>1086</v>
      </c>
      <c r="B64" s="14" t="str">
        <f>IF(ISERROR(VLOOKUP(C62,'START LİSTE'!$B$6:$F$1027,3,0)),"",VLOOKUP(C62,'START LİSTE'!$B$6:$F$1027,3,0))</f>
        <v>ESKİŞEHİR İL KARMASI</v>
      </c>
      <c r="C64" s="141">
        <v>54</v>
      </c>
      <c r="D64" s="15" t="str">
        <f>IF(ISERROR(VLOOKUP($C64,'START LİSTE'!$B$6:$F$1027,2,0)),"",VLOOKUP($C64,'START LİSTE'!$B$6:$F$1027,2,0))</f>
        <v>UMUR ÇAKLI</v>
      </c>
      <c r="E64" s="16" t="str">
        <f>IF(ISERROR(VLOOKUP($C64,'START LİSTE'!$B$6:$F$1027,4,0)),"",VLOOKUP($C64,'START LİSTE'!$B$6:$F$1027,4,0))</f>
        <v>T</v>
      </c>
      <c r="F64" s="108" t="str">
        <f>IF(ISERROR(VLOOKUP($C64,'FERDİ SONUÇ'!$B$6:$H$862,6,0)),"",VLOOKUP($C64,'FERDİ SONUÇ'!$B$6:$H$862,6,0))</f>
        <v>DNF</v>
      </c>
      <c r="G64" s="16" t="str">
        <f>IF(OR(E64="",F64="DQ",F64="DNF",F64="DNS",F64=""),"-",VLOOKUP(C64,'FERDİ SONUÇ'!$B$6:$H$862,7,0))</f>
        <v>-</v>
      </c>
      <c r="H64" s="16" t="str">
        <f>IF(OR(E64="",E64="F",F64="DQ",F64="DNF",F64="DNS",F64=""),"-",VLOOKUP(C64,'FERDİ SONUÇ'!$B$6:$H$862,7,0))</f>
        <v>-</v>
      </c>
      <c r="I64" s="18" t="str">
        <f>IF(ISERROR(SMALL(H62:H65,3)),"-",SMALL(H62:H65,3))</f>
        <v>-</v>
      </c>
      <c r="J64" s="20" t="str">
        <f>IF(C62="","",IF(OR(I62="-",I63="-",I64="-"),"DQ",SUM(I62,I63,I64)))</f>
        <v>DQ</v>
      </c>
      <c r="BA64" s="2">
        <v>1086</v>
      </c>
      <c r="BB64" s="51"/>
    </row>
    <row r="65" spans="1:54" ht="15" customHeight="1">
      <c r="A65" s="13"/>
      <c r="B65" s="14"/>
      <c r="C65" s="141">
        <v>55</v>
      </c>
      <c r="D65" s="15" t="str">
        <f>IF(ISERROR(VLOOKUP($C65,'START LİSTE'!$B$6:$F$1027,2,0)),"",VLOOKUP($C65,'START LİSTE'!$B$6:$F$1027,2,0))</f>
        <v>EGE GÜMÜŞ</v>
      </c>
      <c r="E65" s="16" t="str">
        <f>IF(ISERROR(VLOOKUP($C65,'START LİSTE'!$B$6:$F$1027,4,0)),"",VLOOKUP($C65,'START LİSTE'!$B$6:$F$1027,4,0))</f>
        <v>T</v>
      </c>
      <c r="F65" s="108" t="str">
        <f>IF(ISERROR(VLOOKUP($C65,'FERDİ SONUÇ'!$B$6:$H$862,6,0)),"",VLOOKUP($C65,'FERDİ SONUÇ'!$B$6:$H$862,6,0))</f>
        <v>DNF</v>
      </c>
      <c r="G65" s="16" t="str">
        <f>IF(OR(E65="",F65="DQ",F65="DNF",F65="DNS",F65=""),"-",VLOOKUP(C65,'FERDİ SONUÇ'!$B$6:$H$862,7,0))</f>
        <v>-</v>
      </c>
      <c r="H65" s="16" t="str">
        <f>IF(OR(E65="",E65="F",F65="DQ",F65="DNF",F65="DNS",F65=""),"-",VLOOKUP(C65,'FERDİ SONUÇ'!$B$6:$H$862,7,0))</f>
        <v>-</v>
      </c>
      <c r="I65" s="18" t="str">
        <f>IF(ISERROR(SMALL(H62:H65,4)),"-",SMALL(H62:H65,4))</f>
        <v>-</v>
      </c>
      <c r="J65" s="19"/>
      <c r="BA65" s="2">
        <v>1087</v>
      </c>
      <c r="BB65" s="52"/>
    </row>
    <row r="66" spans="1:54" ht="15" customHeight="1">
      <c r="A66" s="6"/>
      <c r="B66" s="7"/>
      <c r="C66" s="140">
        <v>56</v>
      </c>
      <c r="D66" s="8" t="str">
        <f>IF(ISERROR(VLOOKUP($C66,'START LİSTE'!$B$6:$F$1027,2,0)),"",VLOOKUP($C66,'START LİSTE'!$B$6:$F$1027,2,0))</f>
        <v>SERKAN ÇEKMEZ</v>
      </c>
      <c r="E66" s="9" t="str">
        <f>IF(ISERROR(VLOOKUP($C66,'START LİSTE'!$B$6:$F$1027,4,0)),"",VLOOKUP($C66,'START LİSTE'!$B$6:$F$1027,4,0))</f>
        <v>T</v>
      </c>
      <c r="F66" s="107">
        <f>IF(ISERROR(VLOOKUP($C66,'FERDİ SONUÇ'!$B$6:$H$862,6,0)),"",VLOOKUP($C66,'FERDİ SONUÇ'!$B$6:$H$862,6,0))</f>
        <v>714</v>
      </c>
      <c r="G66" s="9">
        <f>IF(OR(E66="",F66="DQ",F66="DNF",F66="DNS",F66=""),"-",VLOOKUP(C66,'FERDİ SONUÇ'!$B$6:$H$862,7,0))</f>
        <v>17</v>
      </c>
      <c r="H66" s="9">
        <f>IF(OR(E66="",E66="F",F66="DQ",F66="DNF",F66="DNS",F66=""),"-",VLOOKUP(C66,'FERDİ SONUÇ'!$B$6:$H$862,7,0))</f>
        <v>17</v>
      </c>
      <c r="I66" s="11">
        <f>IF(ISERROR(SMALL(H66:H69,1)),"-",SMALL(H66:H69,1))</f>
        <v>17</v>
      </c>
      <c r="J66" s="12"/>
      <c r="BA66" s="2">
        <v>1090</v>
      </c>
      <c r="BB66" s="50"/>
    </row>
    <row r="67" spans="1:54" ht="15" customHeight="1">
      <c r="A67" s="13"/>
      <c r="B67" s="14"/>
      <c r="C67" s="141">
        <v>57</v>
      </c>
      <c r="D67" s="15" t="str">
        <f>IF(ISERROR(VLOOKUP($C67,'START LİSTE'!$B$6:$F$1027,2,0)),"",VLOOKUP($C67,'START LİSTE'!$B$6:$F$1027,2,0))</f>
        <v>EMİR YILMAZ</v>
      </c>
      <c r="E67" s="16" t="str">
        <f>IF(ISERROR(VLOOKUP($C67,'START LİSTE'!$B$6:$F$1027,4,0)),"",VLOOKUP($C67,'START LİSTE'!$B$6:$F$1027,4,0))</f>
        <v>T</v>
      </c>
      <c r="F67" s="108" t="str">
        <f>IF(ISERROR(VLOOKUP($C67,'FERDİ SONUÇ'!$B$6:$H$862,6,0)),"",VLOOKUP($C67,'FERDİ SONUÇ'!$B$6:$H$862,6,0))</f>
        <v>-</v>
      </c>
      <c r="G67" s="16">
        <f>IF(OR(E67="",F67="DQ",F67="DNF",F67="DNS",F67=""),"-",VLOOKUP(C67,'FERDİ SONUÇ'!$B$6:$H$862,7,0))</f>
        <v>33</v>
      </c>
      <c r="H67" s="16">
        <f>IF(OR(E67="",E67="F",F67="DQ",F67="DNF",F67="DNS",F67=""),"-",VLOOKUP(C67,'FERDİ SONUÇ'!$B$6:$H$862,7,0))</f>
        <v>33</v>
      </c>
      <c r="I67" s="18">
        <f>IF(ISERROR(SMALL(H66:H69,2)),"-",SMALL(H66:H69,2))</f>
        <v>33</v>
      </c>
      <c r="J67" s="19"/>
      <c r="BA67" s="2">
        <v>1091</v>
      </c>
      <c r="BB67" s="51"/>
    </row>
    <row r="68" spans="1:54" ht="15" customHeight="1">
      <c r="A68" s="30">
        <f>IF(AND(B68&lt;&gt;"",J68&lt;&gt;"DQ"),COUNT(J$6:J$245)-(RANK(J68,J$6:J$245)+COUNTIF(J$6:J68,J68))+2,IF(C66&lt;&gt;"",BA68,""))</f>
        <v>6</v>
      </c>
      <c r="B68" s="14" t="str">
        <f>IF(ISERROR(VLOOKUP(C66,'START LİSTE'!$B$6:$F$1027,3,0)),"",VLOOKUP(C66,'START LİSTE'!$B$6:$F$1027,3,0))</f>
        <v>ISPARTA-İL KARMASI</v>
      </c>
      <c r="C68" s="141">
        <v>58</v>
      </c>
      <c r="D68" s="15" t="str">
        <f>IF(ISERROR(VLOOKUP($C68,'START LİSTE'!$B$6:$F$1027,2,0)),"",VLOOKUP($C68,'START LİSTE'!$B$6:$F$1027,2,0))</f>
        <v>MUSTAFA YILMAZ</v>
      </c>
      <c r="E68" s="16" t="str">
        <f>IF(ISERROR(VLOOKUP($C68,'START LİSTE'!$B$6:$F$1027,4,0)),"",VLOOKUP($C68,'START LİSTE'!$B$6:$F$1027,4,0))</f>
        <v>T</v>
      </c>
      <c r="F68" s="108" t="str">
        <f>IF(ISERROR(VLOOKUP($C68,'FERDİ SONUÇ'!$B$6:$H$862,6,0)),"",VLOOKUP($C68,'FERDİ SONUÇ'!$B$6:$H$862,6,0))</f>
        <v>DNF</v>
      </c>
      <c r="G68" s="16" t="str">
        <f>IF(OR(E68="",F68="DQ",F68="DNF",F68="DNS",F68=""),"-",VLOOKUP(C68,'FERDİ SONUÇ'!$B$6:$H$862,7,0))</f>
        <v>-</v>
      </c>
      <c r="H68" s="16" t="str">
        <f>IF(OR(E68="",E68="F",F68="DQ",F68="DNF",F68="DNS",F68=""),"-",VLOOKUP(C68,'FERDİ SONUÇ'!$B$6:$H$862,7,0))</f>
        <v>-</v>
      </c>
      <c r="I68" s="18">
        <f>IF(ISERROR(SMALL(H66:H69,3)),"-",SMALL(H66:H69,3))</f>
        <v>42</v>
      </c>
      <c r="J68" s="20">
        <f>IF(C66="","",IF(OR(I66="-",I67="-",I68="-"),"DQ",SUM(I66,I67,I68)))</f>
        <v>92</v>
      </c>
      <c r="BA68" s="2">
        <v>1092</v>
      </c>
      <c r="BB68" s="51"/>
    </row>
    <row r="69" spans="1:54" ht="15" customHeight="1">
      <c r="A69" s="13"/>
      <c r="B69" s="14"/>
      <c r="C69" s="141">
        <v>59</v>
      </c>
      <c r="D69" s="15" t="str">
        <f>IF(ISERROR(VLOOKUP($C69,'START LİSTE'!$B$6:$F$1027,2,0)),"",VLOOKUP($C69,'START LİSTE'!$B$6:$F$1027,2,0))</f>
        <v>MUHAMMED FURKAN</v>
      </c>
      <c r="E69" s="16" t="str">
        <f>IF(ISERROR(VLOOKUP($C69,'START LİSTE'!$B$6:$F$1027,4,0)),"",VLOOKUP($C69,'START LİSTE'!$B$6:$F$1027,4,0))</f>
        <v>T</v>
      </c>
      <c r="F69" s="108" t="str">
        <f>IF(ISERROR(VLOOKUP($C69,'FERDİ SONUÇ'!$B$6:$H$862,6,0)),"",VLOOKUP($C69,'FERDİ SONUÇ'!$B$6:$H$862,6,0))</f>
        <v>-</v>
      </c>
      <c r="G69" s="16">
        <f>IF(OR(E69="",F69="DQ",F69="DNF",F69="DNS",F69=""),"-",VLOOKUP(C69,'FERDİ SONUÇ'!$B$6:$H$862,7,0))</f>
        <v>42</v>
      </c>
      <c r="H69" s="16">
        <f>IF(OR(E69="",E69="F",F69="DQ",F69="DNF",F69="DNS",F69=""),"-",VLOOKUP(C69,'FERDİ SONUÇ'!$B$6:$H$862,7,0))</f>
        <v>42</v>
      </c>
      <c r="I69" s="18" t="str">
        <f>IF(ISERROR(SMALL(H66:H69,4)),"-",SMALL(H66:H69,4))</f>
        <v>-</v>
      </c>
      <c r="J69" s="19"/>
      <c r="BA69" s="2">
        <v>1093</v>
      </c>
      <c r="BB69" s="52"/>
    </row>
    <row r="70" spans="1:54" ht="15" customHeight="1">
      <c r="A70" s="6"/>
      <c r="B70" s="7"/>
      <c r="C70" s="140">
        <v>60</v>
      </c>
      <c r="D70" s="8" t="str">
        <f>IF(ISERROR(VLOOKUP($C70,'START LİSTE'!$B$6:$F$1027,2,0)),"",VLOOKUP($C70,'START LİSTE'!$B$6:$F$1027,2,0))</f>
        <v>BEHÇET GÜLTEKİN</v>
      </c>
      <c r="E70" s="9" t="str">
        <f>IF(ISERROR(VLOOKUP($C70,'START LİSTE'!$B$6:$F$1027,4,0)),"",VLOOKUP($C70,'START LİSTE'!$B$6:$F$1027,4,0))</f>
        <v>T</v>
      </c>
      <c r="F70" s="107">
        <f>IF(ISERROR(VLOOKUP($C70,'FERDİ SONUÇ'!$B$6:$H$862,6,0)),"",VLOOKUP($C70,'FERDİ SONUÇ'!$B$6:$H$862,6,0))</f>
        <v>631</v>
      </c>
      <c r="G70" s="9">
        <f>IF(OR(E70="",F70="DQ",F70="DNF",F70="DNS",F70=""),"-",VLOOKUP(C70,'FERDİ SONUÇ'!$B$6:$H$862,7,0))</f>
        <v>2</v>
      </c>
      <c r="H70" s="9">
        <f>IF(OR(E70="",E70="F",F70="DQ",F70="DNF",F70="DNS",F70=""),"-",VLOOKUP(C70,'FERDİ SONUÇ'!$B$6:$H$862,7,0))</f>
        <v>2</v>
      </c>
      <c r="I70" s="11">
        <f>IF(ISERROR(SMALL(H70:H73,1)),"-",SMALL(H70:H73,1))</f>
        <v>2</v>
      </c>
      <c r="J70" s="12"/>
      <c r="BA70" s="2">
        <v>1096</v>
      </c>
      <c r="BB70" s="50"/>
    </row>
    <row r="71" spans="1:54" ht="15" customHeight="1">
      <c r="A71" s="13"/>
      <c r="B71" s="14"/>
      <c r="C71" s="141">
        <v>61</v>
      </c>
      <c r="D71" s="15" t="str">
        <f>IF(ISERROR(VLOOKUP($C71,'START LİSTE'!$B$6:$F$1027,2,0)),"",VLOOKUP($C71,'START LİSTE'!$B$6:$F$1027,2,0))</f>
        <v>UMUT GÜLTEKİN</v>
      </c>
      <c r="E71" s="16" t="str">
        <f>IF(ISERROR(VLOOKUP($C71,'START LİSTE'!$B$6:$F$1027,4,0)),"",VLOOKUP($C71,'START LİSTE'!$B$6:$F$1027,4,0))</f>
        <v>T</v>
      </c>
      <c r="F71" s="108">
        <f>IF(ISERROR(VLOOKUP($C71,'FERDİ SONUÇ'!$B$6:$H$862,6,0)),"",VLOOKUP($C71,'FERDİ SONUÇ'!$B$6:$H$862,6,0))</f>
        <v>636</v>
      </c>
      <c r="G71" s="16">
        <f>IF(OR(E71="",F71="DQ",F71="DNF",F71="DNS",F71=""),"-",VLOOKUP(C71,'FERDİ SONUÇ'!$B$6:$H$862,7,0))</f>
        <v>4</v>
      </c>
      <c r="H71" s="16">
        <f>IF(OR(E71="",E71="F",F71="DQ",F71="DNF",F71="DNS",F71=""),"-",VLOOKUP(C71,'FERDİ SONUÇ'!$B$6:$H$862,7,0))</f>
        <v>4</v>
      </c>
      <c r="I71" s="18">
        <f>IF(ISERROR(SMALL(H70:H73,2)),"-",SMALL(H70:H73,2))</f>
        <v>4</v>
      </c>
      <c r="J71" s="19"/>
      <c r="BA71" s="2">
        <v>1097</v>
      </c>
      <c r="BB71" s="51"/>
    </row>
    <row r="72" spans="1:54" ht="15" customHeight="1">
      <c r="A72" s="30">
        <f>IF(AND(B72&lt;&gt;"",J72&lt;&gt;"DQ"),COUNT(J$6:J$245)-(RANK(J72,J$6:J$245)+COUNTIF(J$6:J72,J72))+2,IF(C70&lt;&gt;"",BA72,""))</f>
        <v>1</v>
      </c>
      <c r="B72" s="14" t="str">
        <f>IF(ISERROR(VLOOKUP(C70,'START LİSTE'!$B$6:$F$1027,3,0)),"",VLOOKUP(C70,'START LİSTE'!$B$6:$F$1027,3,0))</f>
        <v>İSTANBUL İL KARMASI</v>
      </c>
      <c r="C72" s="141">
        <v>62</v>
      </c>
      <c r="D72" s="15" t="str">
        <f>IF(ISERROR(VLOOKUP($C72,'START LİSTE'!$B$6:$F$1027,2,0)),"",VLOOKUP($C72,'START LİSTE'!$B$6:$F$1027,2,0))</f>
        <v>BARIŞ GÜNEŞ</v>
      </c>
      <c r="E72" s="16" t="str">
        <f>IF(ISERROR(VLOOKUP($C72,'START LİSTE'!$B$6:$F$1027,4,0)),"",VLOOKUP($C72,'START LİSTE'!$B$6:$F$1027,4,0))</f>
        <v>T</v>
      </c>
      <c r="F72" s="108">
        <f>IF(ISERROR(VLOOKUP($C72,'FERDİ SONUÇ'!$B$6:$H$862,6,0)),"",VLOOKUP($C72,'FERDİ SONUÇ'!$B$6:$H$862,6,0))</f>
        <v>711</v>
      </c>
      <c r="G72" s="16">
        <f>IF(OR(E72="",F72="DQ",F72="DNF",F72="DNS",F72=""),"-",VLOOKUP(C72,'FERDİ SONUÇ'!$B$6:$H$862,7,0))</f>
        <v>14</v>
      </c>
      <c r="H72" s="16">
        <f>IF(OR(E72="",E72="F",F72="DQ",F72="DNF",F72="DNS",F72=""),"-",VLOOKUP(C72,'FERDİ SONUÇ'!$B$6:$H$862,7,0))</f>
        <v>14</v>
      </c>
      <c r="I72" s="18">
        <f>IF(ISERROR(SMALL(H70:H73,3)),"-",SMALL(H70:H73,3))</f>
        <v>14</v>
      </c>
      <c r="J72" s="20">
        <f>IF(C70="","",IF(OR(I70="-",I71="-",I72="-"),"DQ",SUM(I70,I71,I72)))</f>
        <v>20</v>
      </c>
      <c r="BA72" s="2">
        <v>1098</v>
      </c>
      <c r="BB72" s="51"/>
    </row>
    <row r="73" spans="1:54" ht="15" customHeight="1">
      <c r="A73" s="13"/>
      <c r="B73" s="14"/>
      <c r="C73" s="141">
        <v>63</v>
      </c>
      <c r="D73" s="15" t="str">
        <f>IF(ISERROR(VLOOKUP($C73,'START LİSTE'!$B$6:$F$1027,2,0)),"",VLOOKUP($C73,'START LİSTE'!$B$6:$F$1027,2,0))</f>
        <v>RECEP KARABATAK</v>
      </c>
      <c r="E73" s="16" t="str">
        <f>IF(ISERROR(VLOOKUP($C73,'START LİSTE'!$B$6:$F$1027,4,0)),"",VLOOKUP($C73,'START LİSTE'!$B$6:$F$1027,4,0))</f>
        <v>T</v>
      </c>
      <c r="F73" s="108" t="str">
        <f>IF(ISERROR(VLOOKUP($C73,'FERDİ SONUÇ'!$B$6:$H$862,6,0)),"",VLOOKUP($C73,'FERDİ SONUÇ'!$B$6:$H$862,6,0))</f>
        <v>-</v>
      </c>
      <c r="G73" s="16">
        <f>IF(OR(E73="",F73="DQ",F73="DNF",F73="DNS",F73=""),"-",VLOOKUP(C73,'FERDİ SONUÇ'!$B$6:$H$862,7,0))</f>
        <v>25</v>
      </c>
      <c r="H73" s="16">
        <f>IF(OR(E73="",E73="F",F73="DQ",F73="DNF",F73="DNS",F73=""),"-",VLOOKUP(C73,'FERDİ SONUÇ'!$B$6:$H$862,7,0))</f>
        <v>25</v>
      </c>
      <c r="I73" s="18">
        <f>IF(ISERROR(SMALL(H70:H73,4)),"-",SMALL(H70:H73,4))</f>
        <v>25</v>
      </c>
      <c r="J73" s="19"/>
      <c r="BA73" s="2">
        <v>1099</v>
      </c>
      <c r="BB73" s="52"/>
    </row>
    <row r="74" spans="1:54" ht="15" customHeight="1">
      <c r="A74" s="6"/>
      <c r="B74" s="7"/>
      <c r="C74" s="140">
        <v>64</v>
      </c>
      <c r="D74" s="8" t="str">
        <f>IF(ISERROR(VLOOKUP($C74,'START LİSTE'!$B$6:$F$1027,2,0)),"",VLOOKUP($C74,'START LİSTE'!$B$6:$F$1027,2,0))</f>
        <v>YASİN ŞAHİNGÖZ</v>
      </c>
      <c r="E74" s="9" t="str">
        <f>IF(ISERROR(VLOOKUP($C74,'START LİSTE'!$B$6:$F$1027,4,0)),"",VLOOKUP($C74,'START LİSTE'!$B$6:$F$1027,4,0))</f>
        <v>T</v>
      </c>
      <c r="F74" s="107" t="str">
        <f>IF(ISERROR(VLOOKUP($C74,'FERDİ SONUÇ'!$B$6:$H$862,6,0)),"",VLOOKUP($C74,'FERDİ SONUÇ'!$B$6:$H$862,6,0))</f>
        <v>-</v>
      </c>
      <c r="G74" s="9">
        <f>IF(OR(E74="",F74="DQ",F74="DNF",F74="DNS",F74=""),"-",VLOOKUP(C74,'FERDİ SONUÇ'!$B$6:$H$862,7,0))</f>
        <v>65</v>
      </c>
      <c r="H74" s="9">
        <f>IF(OR(E74="",E74="F",F74="DQ",F74="DNF",F74="DNS",F74=""),"-",VLOOKUP(C74,'FERDİ SONUÇ'!$B$6:$H$862,7,0))</f>
        <v>65</v>
      </c>
      <c r="I74" s="11">
        <f>IF(ISERROR(SMALL(H74:H77,1)),"-",SMALL(H74:H77,1))</f>
        <v>24</v>
      </c>
      <c r="J74" s="12"/>
      <c r="BA74" s="2">
        <v>1102</v>
      </c>
      <c r="BB74" s="50"/>
    </row>
    <row r="75" spans="1:54" ht="15" customHeight="1">
      <c r="A75" s="13"/>
      <c r="B75" s="14"/>
      <c r="C75" s="141">
        <v>65</v>
      </c>
      <c r="D75" s="15" t="str">
        <f>IF(ISERROR(VLOOKUP($C75,'START LİSTE'!$B$6:$F$1027,2,0)),"",VLOOKUP($C75,'START LİSTE'!$B$6:$F$1027,2,0))</f>
        <v>UMUT KARSÖKEN</v>
      </c>
      <c r="E75" s="16" t="str">
        <f>IF(ISERROR(VLOOKUP($C75,'START LİSTE'!$B$6:$F$1027,4,0)),"",VLOOKUP($C75,'START LİSTE'!$B$6:$F$1027,4,0))</f>
        <v>T</v>
      </c>
      <c r="F75" s="108" t="str">
        <f>IF(ISERROR(VLOOKUP($C75,'FERDİ SONUÇ'!$B$6:$H$862,6,0)),"",VLOOKUP($C75,'FERDİ SONUÇ'!$B$6:$H$862,6,0))</f>
        <v>-</v>
      </c>
      <c r="G75" s="16">
        <f>IF(OR(E75="",F75="DQ",F75="DNF",F75="DNS",F75=""),"-",VLOOKUP(C75,'FERDİ SONUÇ'!$B$6:$H$862,7,0))</f>
        <v>76</v>
      </c>
      <c r="H75" s="16">
        <f>IF(OR(E75="",E75="F",F75="DQ",F75="DNF",F75="DNS",F75=""),"-",VLOOKUP(C75,'FERDİ SONUÇ'!$B$6:$H$862,7,0))</f>
        <v>76</v>
      </c>
      <c r="I75" s="18">
        <f>IF(ISERROR(SMALL(H74:H77,2)),"-",SMALL(H74:H77,2))</f>
        <v>65</v>
      </c>
      <c r="J75" s="19"/>
      <c r="BA75" s="2">
        <v>1103</v>
      </c>
      <c r="BB75" s="51"/>
    </row>
    <row r="76" spans="1:54" ht="15" customHeight="1">
      <c r="A76" s="30">
        <f>IF(AND(B76&lt;&gt;"",J76&lt;&gt;"DQ"),COUNT(J$6:J$245)-(RANK(J76,J$6:J$245)+COUNTIF(J$6:J76,J76))+2,IF(C74&lt;&gt;"",BA76,""))</f>
        <v>15</v>
      </c>
      <c r="B76" s="14" t="str">
        <f>IF(ISERROR(VLOOKUP(C74,'START LİSTE'!$B$6:$F$1027,3,0)),"",VLOOKUP(C74,'START LİSTE'!$B$6:$F$1027,3,0))</f>
        <v>KIRIKKALE</v>
      </c>
      <c r="C76" s="141">
        <v>66</v>
      </c>
      <c r="D76" s="15" t="str">
        <f>IF(ISERROR(VLOOKUP($C76,'START LİSTE'!$B$6:$F$1027,2,0)),"",VLOOKUP($C76,'START LİSTE'!$B$6:$F$1027,2,0))</f>
        <v>MERT ARSLAN</v>
      </c>
      <c r="E76" s="16" t="str">
        <f>IF(ISERROR(VLOOKUP($C76,'START LİSTE'!$B$6:$F$1027,4,0)),"",VLOOKUP($C76,'START LİSTE'!$B$6:$F$1027,4,0))</f>
        <v>T</v>
      </c>
      <c r="F76" s="108" t="str">
        <f>IF(ISERROR(VLOOKUP($C76,'FERDİ SONUÇ'!$B$6:$H$862,6,0)),"",VLOOKUP($C76,'FERDİ SONUÇ'!$B$6:$H$862,6,0))</f>
        <v>DNS</v>
      </c>
      <c r="G76" s="16" t="str">
        <f>IF(OR(E76="",F76="DQ",F76="DNF",F76="DNS",F76=""),"-",VLOOKUP(C76,'FERDİ SONUÇ'!$B$6:$H$862,7,0))</f>
        <v>-</v>
      </c>
      <c r="H76" s="16" t="str">
        <f>IF(OR(E76="",E76="F",F76="DQ",F76="DNF",F76="DNS",F76=""),"-",VLOOKUP(C76,'FERDİ SONUÇ'!$B$6:$H$862,7,0))</f>
        <v>-</v>
      </c>
      <c r="I76" s="18">
        <f>IF(ISERROR(SMALL(H74:H77,3)),"-",SMALL(H74:H77,3))</f>
        <v>76</v>
      </c>
      <c r="J76" s="20">
        <f>IF(C74="","",IF(OR(I74="-",I75="-",I76="-"),"DQ",SUM(I74,I75,I76)))</f>
        <v>165</v>
      </c>
      <c r="BA76" s="2">
        <v>1104</v>
      </c>
      <c r="BB76" s="51"/>
    </row>
    <row r="77" spans="1:54" ht="15" customHeight="1">
      <c r="A77" s="13"/>
      <c r="B77" s="14"/>
      <c r="C77" s="141">
        <v>67</v>
      </c>
      <c r="D77" s="15" t="str">
        <f>IF(ISERROR(VLOOKUP($C77,'START LİSTE'!$B$6:$F$1027,2,0)),"",VLOOKUP($C77,'START LİSTE'!$B$6:$F$1027,2,0))</f>
        <v>BAKİ GÜLER</v>
      </c>
      <c r="E77" s="16" t="str">
        <f>IF(ISERROR(VLOOKUP($C77,'START LİSTE'!$B$6:$F$1027,4,0)),"",VLOOKUP($C77,'START LİSTE'!$B$6:$F$1027,4,0))</f>
        <v>T</v>
      </c>
      <c r="F77" s="108" t="str">
        <f>IF(ISERROR(VLOOKUP($C77,'FERDİ SONUÇ'!$B$6:$H$862,6,0)),"",VLOOKUP($C77,'FERDİ SONUÇ'!$B$6:$H$862,6,0))</f>
        <v>-</v>
      </c>
      <c r="G77" s="16">
        <f>IF(OR(E77="",F77="DQ",F77="DNF",F77="DNS",F77=""),"-",VLOOKUP(C77,'FERDİ SONUÇ'!$B$6:$H$862,7,0))</f>
        <v>24</v>
      </c>
      <c r="H77" s="16">
        <f>IF(OR(E77="",E77="F",F77="DQ",F77="DNF",F77="DNS",F77=""),"-",VLOOKUP(C77,'FERDİ SONUÇ'!$B$6:$H$862,7,0))</f>
        <v>24</v>
      </c>
      <c r="I77" s="18" t="str">
        <f>IF(ISERROR(SMALL(H74:H77,4)),"-",SMALL(H74:H77,4))</f>
        <v>-</v>
      </c>
      <c r="J77" s="19"/>
      <c r="BA77" s="2">
        <v>1105</v>
      </c>
      <c r="BB77" s="52"/>
    </row>
    <row r="78" spans="1:54" ht="15" customHeight="1">
      <c r="A78" s="6"/>
      <c r="B78" s="7"/>
      <c r="C78" s="140">
        <v>68</v>
      </c>
      <c r="D78" s="8" t="str">
        <f>IF(ISERROR(VLOOKUP($C78,'START LİSTE'!$B$6:$F$1027,2,0)),"",VLOOKUP($C78,'START LİSTE'!$B$6:$F$1027,2,0))</f>
        <v>YASİN ŞAHİN</v>
      </c>
      <c r="E78" s="9" t="str">
        <f>IF(ISERROR(VLOOKUP($C78,'START LİSTE'!$B$6:$F$1027,4,0)),"",VLOOKUP($C78,'START LİSTE'!$B$6:$F$1027,4,0))</f>
        <v>T</v>
      </c>
      <c r="F78" s="107" t="str">
        <f>IF(ISERROR(VLOOKUP($C78,'FERDİ SONUÇ'!$B$6:$H$862,6,0)),"",VLOOKUP($C78,'FERDİ SONUÇ'!$B$6:$H$862,6,0))</f>
        <v>-</v>
      </c>
      <c r="G78" s="9">
        <f>IF(OR(E78="",F78="DQ",F78="DNF",F78="DNS",F78=""),"-",VLOOKUP(C78,'FERDİ SONUÇ'!$B$6:$H$862,7,0))</f>
        <v>83</v>
      </c>
      <c r="H78" s="9">
        <f>IF(OR(E78="",E78="F",F78="DQ",F78="DNF",F78="DNS",F78=""),"-",VLOOKUP(C78,'FERDİ SONUÇ'!$B$6:$H$862,7,0))</f>
        <v>83</v>
      </c>
      <c r="I78" s="11">
        <f>IF(ISERROR(SMALL(H78:H81,1)),"-",SMALL(H78:H81,1))</f>
        <v>8</v>
      </c>
      <c r="J78" s="12"/>
      <c r="BA78" s="2">
        <v>1108</v>
      </c>
      <c r="BB78" s="50"/>
    </row>
    <row r="79" spans="1:54" ht="15" customHeight="1">
      <c r="A79" s="13"/>
      <c r="B79" s="14"/>
      <c r="C79" s="141">
        <v>69</v>
      </c>
      <c r="D79" s="15" t="str">
        <f>IF(ISERROR(VLOOKUP($C79,'START LİSTE'!$B$6:$F$1027,2,0)),"",VLOOKUP($C79,'START LİSTE'!$B$6:$F$1027,2,0))</f>
        <v>MUHAMMET HALİT TAŞ</v>
      </c>
      <c r="E79" s="16" t="str">
        <f>IF(ISERROR(VLOOKUP($C79,'START LİSTE'!$B$6:$F$1027,4,0)),"",VLOOKUP($C79,'START LİSTE'!$B$6:$F$1027,4,0))</f>
        <v>T</v>
      </c>
      <c r="F79" s="108">
        <f>IF(ISERROR(VLOOKUP($C79,'FERDİ SONUÇ'!$B$6:$H$862,6,0)),"",VLOOKUP($C79,'FERDİ SONUÇ'!$B$6:$H$862,6,0))</f>
        <v>700</v>
      </c>
      <c r="G79" s="16">
        <f>IF(OR(E79="",F79="DQ",F79="DNF",F79="DNS",F79=""),"-",VLOOKUP(C79,'FERDİ SONUÇ'!$B$6:$H$862,7,0))</f>
        <v>8</v>
      </c>
      <c r="H79" s="16">
        <f>IF(OR(E79="",E79="F",F79="DQ",F79="DNF",F79="DNS",F79=""),"-",VLOOKUP(C79,'FERDİ SONUÇ'!$B$6:$H$862,7,0))</f>
        <v>8</v>
      </c>
      <c r="I79" s="18">
        <f>IF(ISERROR(SMALL(H78:H81,2)),"-",SMALL(H78:H81,2))</f>
        <v>82</v>
      </c>
      <c r="J79" s="19"/>
      <c r="BA79" s="2">
        <v>1109</v>
      </c>
      <c r="BB79" s="51"/>
    </row>
    <row r="80" spans="1:54" ht="15" customHeight="1">
      <c r="A80" s="30">
        <f>IF(AND(B80&lt;&gt;"",J80&lt;&gt;"DQ"),COUNT(J$6:J$245)-(RANK(J80,J$6:J$245)+COUNTIF(J$6:J80,J80))+2,IF(C78&lt;&gt;"",BA80,""))</f>
        <v>19</v>
      </c>
      <c r="B80" s="14" t="str">
        <f>IF(ISERROR(VLOOKUP(C78,'START LİSTE'!$B$6:$F$1027,3,0)),"",VLOOKUP(C78,'START LİSTE'!$B$6:$F$1027,3,0))</f>
        <v>KIRŞEHİR</v>
      </c>
      <c r="C80" s="141">
        <v>70</v>
      </c>
      <c r="D80" s="15" t="str">
        <f>IF(ISERROR(VLOOKUP($C80,'START LİSTE'!$B$6:$F$1027,2,0)),"",VLOOKUP($C80,'START LİSTE'!$B$6:$F$1027,2,0))</f>
        <v>GÖKHAN GÖK</v>
      </c>
      <c r="E80" s="16" t="str">
        <f>IF(ISERROR(VLOOKUP($C80,'START LİSTE'!$B$6:$F$1027,4,0)),"",VLOOKUP($C80,'START LİSTE'!$B$6:$F$1027,4,0))</f>
        <v>T</v>
      </c>
      <c r="F80" s="108" t="str">
        <f>IF(ISERROR(VLOOKUP($C80,'FERDİ SONUÇ'!$B$6:$H$862,6,0)),"",VLOOKUP($C80,'FERDİ SONUÇ'!$B$6:$H$862,6,0))</f>
        <v>-</v>
      </c>
      <c r="G80" s="16">
        <f>IF(OR(E80="",F80="DQ",F80="DNF",F80="DNS",F80=""),"-",VLOOKUP(C80,'FERDİ SONUÇ'!$B$6:$H$862,7,0))</f>
        <v>82</v>
      </c>
      <c r="H80" s="16">
        <f>IF(OR(E80="",E80="F",F80="DQ",F80="DNF",F80="DNS",F80=""),"-",VLOOKUP(C80,'FERDİ SONUÇ'!$B$6:$H$862,7,0))</f>
        <v>82</v>
      </c>
      <c r="I80" s="18">
        <f>IF(ISERROR(SMALL(H78:H81,3)),"-",SMALL(H78:H81,3))</f>
        <v>83</v>
      </c>
      <c r="J80" s="20">
        <f>IF(C78="","",IF(OR(I78="-",I79="-",I80="-"),"DQ",SUM(I78,I79,I80)))</f>
        <v>173</v>
      </c>
      <c r="BA80" s="2">
        <v>1110</v>
      </c>
      <c r="BB80" s="51"/>
    </row>
    <row r="81" spans="1:54" ht="15" customHeight="1">
      <c r="A81" s="13"/>
      <c r="B81" s="14"/>
      <c r="C81" s="141" t="s">
        <v>32</v>
      </c>
      <c r="D81" s="15" t="str">
        <f>IF(ISERROR(VLOOKUP($C81,'START LİSTE'!$B$6:$F$1027,2,0)),"",VLOOKUP($C81,'START LİSTE'!$B$6:$F$1027,2,0))</f>
        <v>-</v>
      </c>
      <c r="E81" s="16" t="str">
        <f>IF(ISERROR(VLOOKUP($C81,'START LİSTE'!$B$6:$F$1027,4,0)),"",VLOOKUP($C81,'START LİSTE'!$B$6:$F$1027,4,0))</f>
        <v>T</v>
      </c>
      <c r="F81" s="108">
        <f>IF(ISERROR(VLOOKUP($C81,'FERDİ SONUÇ'!$B$6:$H$862,6,0)),"",VLOOKUP($C81,'FERDİ SONUÇ'!$B$6:$H$862,6,0))</f>
      </c>
      <c r="G81" s="16" t="str">
        <f>IF(OR(E81="",F81="DQ",F81="DNF",F81="DNS",F81=""),"-",VLOOKUP(C81,'FERDİ SONUÇ'!$B$6:$H$862,7,0))</f>
        <v>-</v>
      </c>
      <c r="H81" s="16" t="str">
        <f>IF(OR(E81="",E81="F",F81="DQ",F81="DNF",F81="DNS",F81=""),"-",VLOOKUP(C81,'FERDİ SONUÇ'!$B$6:$H$862,7,0))</f>
        <v>-</v>
      </c>
      <c r="I81" s="18" t="str">
        <f>IF(ISERROR(SMALL(H78:H81,4)),"-",SMALL(H78:H81,4))</f>
        <v>-</v>
      </c>
      <c r="J81" s="19"/>
      <c r="BA81" s="2">
        <v>1111</v>
      </c>
      <c r="BB81" s="52"/>
    </row>
    <row r="82" spans="1:54" ht="15" customHeight="1">
      <c r="A82" s="6"/>
      <c r="B82" s="7"/>
      <c r="C82" s="140">
        <v>71</v>
      </c>
      <c r="D82" s="8" t="str">
        <f>IF(ISERROR(VLOOKUP($C82,'START LİSTE'!$B$6:$F$1027,2,0)),"",VLOOKUP($C82,'START LİSTE'!$B$6:$F$1027,2,0))</f>
        <v>SAMET TAŞKIN</v>
      </c>
      <c r="E82" s="9" t="str">
        <f>IF(ISERROR(VLOOKUP($C82,'START LİSTE'!$B$6:$F$1027,4,0)),"",VLOOKUP($C82,'START LİSTE'!$B$6:$F$1027,4,0))</f>
        <v>T</v>
      </c>
      <c r="F82" s="107">
        <f>IF(ISERROR(VLOOKUP($C82,'FERDİ SONUÇ'!$B$6:$H$862,6,0)),"",VLOOKUP($C82,'FERDİ SONUÇ'!$B$6:$H$862,6,0))</f>
        <v>634</v>
      </c>
      <c r="G82" s="9">
        <f>IF(OR(E82="",F82="DQ",F82="DNF",F82="DNS",F82=""),"-",VLOOKUP(C82,'FERDİ SONUÇ'!$B$6:$H$862,7,0))</f>
        <v>3</v>
      </c>
      <c r="H82" s="9">
        <f>IF(OR(E82="",E82="F",F82="DQ",F82="DNF",F82="DNS",F82=""),"-",VLOOKUP(C82,'FERDİ SONUÇ'!$B$6:$H$862,7,0))</f>
        <v>3</v>
      </c>
      <c r="I82" s="11">
        <f>IF(ISERROR(SMALL(H82:H85,1)),"-",SMALL(H82:H85,1))</f>
        <v>3</v>
      </c>
      <c r="J82" s="12"/>
      <c r="BA82" s="2">
        <v>1114</v>
      </c>
      <c r="BB82" s="50"/>
    </row>
    <row r="83" spans="1:54" ht="15" customHeight="1">
      <c r="A83" s="13"/>
      <c r="B83" s="14"/>
      <c r="C83" s="141">
        <v>72</v>
      </c>
      <c r="D83" s="15" t="str">
        <f>IF(ISERROR(VLOOKUP($C83,'START LİSTE'!$B$6:$F$1027,2,0)),"",VLOOKUP($C83,'START LİSTE'!$B$6:$F$1027,2,0))</f>
        <v>ÖMER YAVRUTÜRK</v>
      </c>
      <c r="E83" s="16" t="str">
        <f>IF(ISERROR(VLOOKUP($C83,'START LİSTE'!$B$6:$F$1027,4,0)),"",VLOOKUP($C83,'START LİSTE'!$B$6:$F$1027,4,0))</f>
        <v>T</v>
      </c>
      <c r="F83" s="108">
        <f>IF(ISERROR(VLOOKUP($C83,'FERDİ SONUÇ'!$B$6:$H$862,6,0)),"",VLOOKUP($C83,'FERDİ SONUÇ'!$B$6:$H$862,6,0))</f>
        <v>717</v>
      </c>
      <c r="G83" s="16">
        <f>IF(OR(E83="",F83="DQ",F83="DNF",F83="DNS",F83=""),"-",VLOOKUP(C83,'FERDİ SONUÇ'!$B$6:$H$862,7,0))</f>
        <v>20</v>
      </c>
      <c r="H83" s="16">
        <f>IF(OR(E83="",E83="F",F83="DQ",F83="DNF",F83="DNS",F83=""),"-",VLOOKUP(C83,'FERDİ SONUÇ'!$B$6:$H$862,7,0))</f>
        <v>20</v>
      </c>
      <c r="I83" s="18">
        <f>IF(ISERROR(SMALL(H82:H85,2)),"-",SMALL(H82:H85,2))</f>
        <v>20</v>
      </c>
      <c r="J83" s="19"/>
      <c r="BA83" s="2">
        <v>1115</v>
      </c>
      <c r="BB83" s="51"/>
    </row>
    <row r="84" spans="1:54" ht="15" customHeight="1">
      <c r="A84" s="30">
        <f>IF(AND(B84&lt;&gt;"",J84&lt;&gt;"DQ"),COUNT(J$6:J$245)-(RANK(J84,J$6:J$245)+COUNTIF(J$6:J84,J84))+2,IF(C82&lt;&gt;"",BA84,""))</f>
        <v>3</v>
      </c>
      <c r="B84" s="14" t="str">
        <f>IF(ISERROR(VLOOKUP(C82,'START LİSTE'!$B$6:$F$1027,3,0)),"",VLOOKUP(C82,'START LİSTE'!$B$6:$F$1027,3,0))</f>
        <v>KOCAELİ</v>
      </c>
      <c r="C84" s="141">
        <v>73</v>
      </c>
      <c r="D84" s="15" t="str">
        <f>IF(ISERROR(VLOOKUP($C84,'START LİSTE'!$B$6:$F$1027,2,0)),"",VLOOKUP($C84,'START LİSTE'!$B$6:$F$1027,2,0))</f>
        <v>YİĞİT KAHRAMAN</v>
      </c>
      <c r="E84" s="16" t="str">
        <f>IF(ISERROR(VLOOKUP($C84,'START LİSTE'!$B$6:$F$1027,4,0)),"",VLOOKUP($C84,'START LİSTE'!$B$6:$F$1027,4,0))</f>
        <v>T</v>
      </c>
      <c r="F84" s="108" t="str">
        <f>IF(ISERROR(VLOOKUP($C84,'FERDİ SONUÇ'!$B$6:$H$862,6,0)),"",VLOOKUP($C84,'FERDİ SONUÇ'!$B$6:$H$862,6,0))</f>
        <v>-</v>
      </c>
      <c r="G84" s="16">
        <f>IF(OR(E84="",F84="DQ",F84="DNF",F84="DNS",F84=""),"-",VLOOKUP(C84,'FERDİ SONUÇ'!$B$6:$H$862,7,0))</f>
        <v>23</v>
      </c>
      <c r="H84" s="16">
        <f>IF(OR(E84="",E84="F",F84="DQ",F84="DNF",F84="DNS",F84=""),"-",VLOOKUP(C84,'FERDİ SONUÇ'!$B$6:$H$862,7,0))</f>
        <v>23</v>
      </c>
      <c r="I84" s="18">
        <f>IF(ISERROR(SMALL(H82:H85,3)),"-",SMALL(H82:H85,3))</f>
        <v>23</v>
      </c>
      <c r="J84" s="20">
        <f>IF(C82="","",IF(OR(I82="-",I83="-",I84="-"),"DQ",SUM(I82,I83,I84)))</f>
        <v>46</v>
      </c>
      <c r="BA84" s="2">
        <v>1116</v>
      </c>
      <c r="BB84" s="51"/>
    </row>
    <row r="85" spans="1:54" ht="15" customHeight="1">
      <c r="A85" s="13"/>
      <c r="B85" s="14"/>
      <c r="C85" s="141">
        <v>74</v>
      </c>
      <c r="D85" s="15" t="str">
        <f>IF(ISERROR(VLOOKUP($C85,'START LİSTE'!$B$6:$F$1027,2,0)),"",VLOOKUP($C85,'START LİSTE'!$B$6:$F$1027,2,0))</f>
        <v>HAMİT BİRLİK</v>
      </c>
      <c r="E85" s="16" t="str">
        <f>IF(ISERROR(VLOOKUP($C85,'START LİSTE'!$B$6:$F$1027,4,0)),"",VLOOKUP($C85,'START LİSTE'!$B$6:$F$1027,4,0))</f>
        <v>T</v>
      </c>
      <c r="F85" s="108" t="str">
        <f>IF(ISERROR(VLOOKUP($C85,'FERDİ SONUÇ'!$B$6:$H$862,6,0)),"",VLOOKUP($C85,'FERDİ SONUÇ'!$B$6:$H$862,6,0))</f>
        <v>-</v>
      </c>
      <c r="G85" s="16">
        <f>IF(OR(E85="",F85="DQ",F85="DNF",F85="DNS",F85=""),"-",VLOOKUP(C85,'FERDİ SONUÇ'!$B$6:$H$862,7,0))</f>
        <v>59</v>
      </c>
      <c r="H85" s="16">
        <f>IF(OR(E85="",E85="F",F85="DQ",F85="DNF",F85="DNS",F85=""),"-",VLOOKUP(C85,'FERDİ SONUÇ'!$B$6:$H$862,7,0))</f>
        <v>59</v>
      </c>
      <c r="I85" s="18">
        <f>IF(ISERROR(SMALL(H82:H85,4)),"-",SMALL(H82:H85,4))</f>
        <v>59</v>
      </c>
      <c r="J85" s="19"/>
      <c r="BA85" s="2">
        <v>1117</v>
      </c>
      <c r="BB85" s="52"/>
    </row>
    <row r="86" spans="1:54" ht="15" customHeight="1">
      <c r="A86" s="6"/>
      <c r="B86" s="7"/>
      <c r="C86" s="140">
        <v>75</v>
      </c>
      <c r="D86" s="8" t="str">
        <f>IF(ISERROR(VLOOKUP($C86,'START LİSTE'!$B$6:$F$1027,2,0)),"",VLOOKUP($C86,'START LİSTE'!$B$6:$F$1027,2,0))</f>
        <v>AHMET EMRE DEVELİ</v>
      </c>
      <c r="E86" s="9" t="str">
        <f>IF(ISERROR(VLOOKUP($C86,'START LİSTE'!$B$6:$F$1027,4,0)),"",VLOOKUP($C86,'START LİSTE'!$B$6:$F$1027,4,0))</f>
        <v>T</v>
      </c>
      <c r="F86" s="107" t="str">
        <f>IF(ISERROR(VLOOKUP($C86,'FERDİ SONUÇ'!$B$6:$H$862,6,0)),"",VLOOKUP($C86,'FERDİ SONUÇ'!$B$6:$H$862,6,0))</f>
        <v>-</v>
      </c>
      <c r="G86" s="9">
        <f>IF(OR(E86="",F86="DQ",F86="DNF",F86="DNS",F86=""),"-",VLOOKUP(C86,'FERDİ SONUÇ'!$B$6:$H$862,7,0))</f>
        <v>79</v>
      </c>
      <c r="H86" s="9">
        <f>IF(OR(E86="",E86="F",F86="DQ",F86="DNF",F86="DNS",F86=""),"-",VLOOKUP(C86,'FERDİ SONUÇ'!$B$6:$H$862,7,0))</f>
        <v>79</v>
      </c>
      <c r="I86" s="11">
        <f>IF(ISERROR(SMALL(H86:H89,1)),"-",SMALL(H86:H89,1))</f>
        <v>15</v>
      </c>
      <c r="J86" s="12"/>
      <c r="BA86" s="2">
        <v>1120</v>
      </c>
      <c r="BB86" s="50"/>
    </row>
    <row r="87" spans="1:54" ht="15" customHeight="1">
      <c r="A87" s="13"/>
      <c r="B87" s="14"/>
      <c r="C87" s="141">
        <v>76</v>
      </c>
      <c r="D87" s="15" t="str">
        <f>IF(ISERROR(VLOOKUP($C87,'START LİSTE'!$B$6:$F$1027,2,0)),"",VLOOKUP($C87,'START LİSTE'!$B$6:$F$1027,2,0))</f>
        <v>MURAT KÖSE</v>
      </c>
      <c r="E87" s="16" t="str">
        <f>IF(ISERROR(VLOOKUP($C87,'START LİSTE'!$B$6:$F$1027,4,0)),"",VLOOKUP($C87,'START LİSTE'!$B$6:$F$1027,4,0))</f>
        <v>T</v>
      </c>
      <c r="F87" s="108">
        <f>IF(ISERROR(VLOOKUP($C87,'FERDİ SONUÇ'!$B$6:$H$862,6,0)),"",VLOOKUP($C87,'FERDİ SONUÇ'!$B$6:$H$862,6,0))</f>
        <v>712</v>
      </c>
      <c r="G87" s="16">
        <f>IF(OR(E87="",F87="DQ",F87="DNF",F87="DNS",F87=""),"-",VLOOKUP(C87,'FERDİ SONUÇ'!$B$6:$H$862,7,0))</f>
        <v>15</v>
      </c>
      <c r="H87" s="16">
        <f>IF(OR(E87="",E87="F",F87="DQ",F87="DNF",F87="DNS",F87=""),"-",VLOOKUP(C87,'FERDİ SONUÇ'!$B$6:$H$862,7,0))</f>
        <v>15</v>
      </c>
      <c r="I87" s="18">
        <f>IF(ISERROR(SMALL(H86:H89,2)),"-",SMALL(H86:H89,2))</f>
        <v>61</v>
      </c>
      <c r="J87" s="19"/>
      <c r="BA87" s="2">
        <v>1121</v>
      </c>
      <c r="BB87" s="51"/>
    </row>
    <row r="88" spans="1:54" ht="15" customHeight="1">
      <c r="A88" s="30">
        <f>IF(AND(B88&lt;&gt;"",J88&lt;&gt;"DQ"),COUNT(J$6:J$245)-(RANK(J88,J$6:J$245)+COUNTIF(J$6:J88,J88))+2,IF(C86&lt;&gt;"",BA88,""))</f>
        <v>14</v>
      </c>
      <c r="B88" s="14" t="str">
        <f>IF(ISERROR(VLOOKUP(C86,'START LİSTE'!$B$6:$F$1027,3,0)),"",VLOOKUP(C86,'START LİSTE'!$B$6:$F$1027,3,0))</f>
        <v>KÜTAHYA</v>
      </c>
      <c r="C88" s="141">
        <v>77</v>
      </c>
      <c r="D88" s="15" t="str">
        <f>IF(ISERROR(VLOOKUP($C88,'START LİSTE'!$B$6:$F$1027,2,0)),"",VLOOKUP($C88,'START LİSTE'!$B$6:$F$1027,2,0))</f>
        <v>MUSTAFA MUŞTU</v>
      </c>
      <c r="E88" s="16" t="str">
        <f>IF(ISERROR(VLOOKUP($C88,'START LİSTE'!$B$6:$F$1027,4,0)),"",VLOOKUP($C88,'START LİSTE'!$B$6:$F$1027,4,0))</f>
        <v>T</v>
      </c>
      <c r="F88" s="108" t="str">
        <f>IF(ISERROR(VLOOKUP($C88,'FERDİ SONUÇ'!$B$6:$H$862,6,0)),"",VLOOKUP($C88,'FERDİ SONUÇ'!$B$6:$H$862,6,0))</f>
        <v>-</v>
      </c>
      <c r="G88" s="16">
        <f>IF(OR(E88="",F88="DQ",F88="DNF",F88="DNS",F88=""),"-",VLOOKUP(C88,'FERDİ SONUÇ'!$B$6:$H$862,7,0))</f>
        <v>78</v>
      </c>
      <c r="H88" s="16">
        <f>IF(OR(E88="",E88="F",F88="DQ",F88="DNF",F88="DNS",F88=""),"-",VLOOKUP(C88,'FERDİ SONUÇ'!$B$6:$H$862,7,0))</f>
        <v>78</v>
      </c>
      <c r="I88" s="18">
        <f>IF(ISERROR(SMALL(H86:H89,3)),"-",SMALL(H86:H89,3))</f>
        <v>78</v>
      </c>
      <c r="J88" s="20">
        <f>IF(C86="","",IF(OR(I86="-",I87="-",I88="-"),"DQ",SUM(I86,I87,I88)))</f>
        <v>154</v>
      </c>
      <c r="BA88" s="2">
        <v>1122</v>
      </c>
      <c r="BB88" s="51"/>
    </row>
    <row r="89" spans="1:54" ht="15" customHeight="1">
      <c r="A89" s="13"/>
      <c r="B89" s="14"/>
      <c r="C89" s="141">
        <v>78</v>
      </c>
      <c r="D89" s="15" t="str">
        <f>IF(ISERROR(VLOOKUP($C89,'START LİSTE'!$B$6:$F$1027,2,0)),"",VLOOKUP($C89,'START LİSTE'!$B$6:$F$1027,2,0))</f>
        <v>İBRAHİM AYGÜN</v>
      </c>
      <c r="E89" s="16" t="str">
        <f>IF(ISERROR(VLOOKUP($C89,'START LİSTE'!$B$6:$F$1027,4,0)),"",VLOOKUP($C89,'START LİSTE'!$B$6:$F$1027,4,0))</f>
        <v>T</v>
      </c>
      <c r="F89" s="108" t="str">
        <f>IF(ISERROR(VLOOKUP($C89,'FERDİ SONUÇ'!$B$6:$H$862,6,0)),"",VLOOKUP($C89,'FERDİ SONUÇ'!$B$6:$H$862,6,0))</f>
        <v>-</v>
      </c>
      <c r="G89" s="16">
        <f>IF(OR(E89="",F89="DQ",F89="DNF",F89="DNS",F89=""),"-",VLOOKUP(C89,'FERDİ SONUÇ'!$B$6:$H$862,7,0))</f>
        <v>61</v>
      </c>
      <c r="H89" s="16">
        <f>IF(OR(E89="",E89="F",F89="DQ",F89="DNF",F89="DNS",F89=""),"-",VLOOKUP(C89,'FERDİ SONUÇ'!$B$6:$H$862,7,0))</f>
        <v>61</v>
      </c>
      <c r="I89" s="18">
        <f>IF(ISERROR(SMALL(H86:H89,4)),"-",SMALL(H86:H89,4))</f>
        <v>79</v>
      </c>
      <c r="J89" s="19"/>
      <c r="BA89" s="2">
        <v>1123</v>
      </c>
      <c r="BB89" s="52"/>
    </row>
    <row r="90" spans="1:54" ht="15" customHeight="1">
      <c r="A90" s="6"/>
      <c r="B90" s="7"/>
      <c r="C90" s="140">
        <v>79</v>
      </c>
      <c r="D90" s="8" t="str">
        <f>IF(ISERROR(VLOOKUP($C90,'START LİSTE'!$B$6:$F$1027,2,0)),"",VLOOKUP($C90,'START LİSTE'!$B$6:$F$1027,2,0))</f>
        <v>ERAY GÖL</v>
      </c>
      <c r="E90" s="9" t="str">
        <f>IF(ISERROR(VLOOKUP($C90,'START LİSTE'!$B$6:$F$1027,4,0)),"",VLOOKUP($C90,'START LİSTE'!$B$6:$F$1027,4,0))</f>
        <v>T</v>
      </c>
      <c r="F90" s="107" t="str">
        <f>IF(ISERROR(VLOOKUP($C90,'FERDİ SONUÇ'!$B$6:$H$862,6,0)),"",VLOOKUP($C90,'FERDİ SONUÇ'!$B$6:$H$862,6,0))</f>
        <v>-</v>
      </c>
      <c r="G90" s="9">
        <f>IF(OR(E90="",F90="DQ",F90="DNF",F90="DNS",F90=""),"-",VLOOKUP(C90,'FERDİ SONUÇ'!$B$6:$H$862,7,0))</f>
        <v>69</v>
      </c>
      <c r="H90" s="9">
        <f>IF(OR(E90="",E90="F",F90="DQ",F90="DNF",F90="DNS",F90=""),"-",VLOOKUP(C90,'FERDİ SONUÇ'!$B$6:$H$862,7,0))</f>
        <v>69</v>
      </c>
      <c r="I90" s="11">
        <f>IF(ISERROR(SMALL(H90:H93,1)),"-",SMALL(H90:H93,1))</f>
        <v>46</v>
      </c>
      <c r="J90" s="12"/>
      <c r="BA90" s="2">
        <v>1126</v>
      </c>
      <c r="BB90" s="50"/>
    </row>
    <row r="91" spans="1:54" ht="15" customHeight="1">
      <c r="A91" s="13"/>
      <c r="B91" s="14"/>
      <c r="C91" s="141">
        <v>80</v>
      </c>
      <c r="D91" s="15" t="str">
        <f>IF(ISERROR(VLOOKUP($C91,'START LİSTE'!$B$6:$F$1027,2,0)),"",VLOOKUP($C91,'START LİSTE'!$B$6:$F$1027,2,0))</f>
        <v>AHMET AKARSU</v>
      </c>
      <c r="E91" s="16" t="str">
        <f>IF(ISERROR(VLOOKUP($C91,'START LİSTE'!$B$6:$F$1027,4,0)),"",VLOOKUP($C91,'START LİSTE'!$B$6:$F$1027,4,0))</f>
        <v>T</v>
      </c>
      <c r="F91" s="108" t="str">
        <f>IF(ISERROR(VLOOKUP($C91,'FERDİ SONUÇ'!$B$6:$H$862,6,0)),"",VLOOKUP($C91,'FERDİ SONUÇ'!$B$6:$H$862,6,0))</f>
        <v>-</v>
      </c>
      <c r="G91" s="16">
        <f>IF(OR(E91="",F91="DQ",F91="DNF",F91="DNS",F91=""),"-",VLOOKUP(C91,'FERDİ SONUÇ'!$B$6:$H$862,7,0))</f>
        <v>46</v>
      </c>
      <c r="H91" s="16">
        <f>IF(OR(E91="",E91="F",F91="DQ",F91="DNF",F91="DNS",F91=""),"-",VLOOKUP(C91,'FERDİ SONUÇ'!$B$6:$H$862,7,0))</f>
        <v>46</v>
      </c>
      <c r="I91" s="18">
        <f>IF(ISERROR(SMALL(H90:H93,2)),"-",SMALL(H90:H93,2))</f>
        <v>52</v>
      </c>
      <c r="J91" s="19"/>
      <c r="BA91" s="2">
        <v>1127</v>
      </c>
      <c r="BB91" s="51"/>
    </row>
    <row r="92" spans="1:54" ht="15" customHeight="1">
      <c r="A92" s="30">
        <f>IF(AND(B92&lt;&gt;"",J92&lt;&gt;"DQ"),COUNT(J$6:J$245)-(RANK(J92,J$6:J$245)+COUNTIF(J$6:J92,J92))+2,IF(C90&lt;&gt;"",BA92,""))</f>
        <v>17</v>
      </c>
      <c r="B92" s="14" t="str">
        <f>IF(ISERROR(VLOOKUP(C90,'START LİSTE'!$B$6:$F$1027,3,0)),"",VLOOKUP(C90,'START LİSTE'!$B$6:$F$1027,3,0))</f>
        <v>MANİSA </v>
      </c>
      <c r="C92" s="141">
        <v>81</v>
      </c>
      <c r="D92" s="15" t="str">
        <f>IF(ISERROR(VLOOKUP($C92,'START LİSTE'!$B$6:$F$1027,2,0)),"",VLOOKUP($C92,'START LİSTE'!$B$6:$F$1027,2,0))</f>
        <v>ERDEM ŞENTÜRK</v>
      </c>
      <c r="E92" s="16" t="str">
        <f>IF(ISERROR(VLOOKUP($C92,'START LİSTE'!$B$6:$F$1027,4,0)),"",VLOOKUP($C92,'START LİSTE'!$B$6:$F$1027,4,0))</f>
        <v>T</v>
      </c>
      <c r="F92" s="108" t="str">
        <f>IF(ISERROR(VLOOKUP($C92,'FERDİ SONUÇ'!$B$6:$H$862,6,0)),"",VLOOKUP($C92,'FERDİ SONUÇ'!$B$6:$H$862,6,0))</f>
        <v>-</v>
      </c>
      <c r="G92" s="16">
        <f>IF(OR(E92="",F92="DQ",F92="DNF",F92="DNS",F92=""),"-",VLOOKUP(C92,'FERDİ SONUÇ'!$B$6:$H$862,7,0))</f>
        <v>52</v>
      </c>
      <c r="H92" s="16">
        <f>IF(OR(E92="",E92="F",F92="DQ",F92="DNF",F92="DNS",F92=""),"-",VLOOKUP(C92,'FERDİ SONUÇ'!$B$6:$H$862,7,0))</f>
        <v>52</v>
      </c>
      <c r="I92" s="18">
        <f>IF(ISERROR(SMALL(H90:H93,3)),"-",SMALL(H90:H93,3))</f>
        <v>69</v>
      </c>
      <c r="J92" s="20">
        <f>IF(C90="","",IF(OR(I90="-",I91="-",I92="-"),"DQ",SUM(I90,I91,I92)))</f>
        <v>167</v>
      </c>
      <c r="BA92" s="2">
        <v>1128</v>
      </c>
      <c r="BB92" s="51"/>
    </row>
    <row r="93" spans="1:54" ht="15" customHeight="1">
      <c r="A93" s="13"/>
      <c r="B93" s="14"/>
      <c r="C93" s="141" t="s">
        <v>32</v>
      </c>
      <c r="D93" s="15" t="str">
        <f>IF(ISERROR(VLOOKUP($C93,'START LİSTE'!$B$6:$F$1027,2,0)),"",VLOOKUP($C93,'START LİSTE'!$B$6:$F$1027,2,0))</f>
        <v>-</v>
      </c>
      <c r="E93" s="16" t="str">
        <f>IF(ISERROR(VLOOKUP($C93,'START LİSTE'!$B$6:$F$1027,4,0)),"",VLOOKUP($C93,'START LİSTE'!$B$6:$F$1027,4,0))</f>
        <v>T</v>
      </c>
      <c r="F93" s="108">
        <f>IF(ISERROR(VLOOKUP($C93,'FERDİ SONUÇ'!$B$6:$H$862,6,0)),"",VLOOKUP($C93,'FERDİ SONUÇ'!$B$6:$H$862,6,0))</f>
      </c>
      <c r="G93" s="16" t="str">
        <f>IF(OR(E93="",F93="DQ",F93="DNF",F93="DNS",F93=""),"-",VLOOKUP(C93,'FERDİ SONUÇ'!$B$6:$H$862,7,0))</f>
        <v>-</v>
      </c>
      <c r="H93" s="16" t="str">
        <f>IF(OR(E93="",E93="F",F93="DQ",F93="DNF",F93="DNS",F93=""),"-",VLOOKUP(C93,'FERDİ SONUÇ'!$B$6:$H$862,7,0))</f>
        <v>-</v>
      </c>
      <c r="I93" s="18" t="str">
        <f>IF(ISERROR(SMALL(H90:H93,4)),"-",SMALL(H90:H93,4))</f>
        <v>-</v>
      </c>
      <c r="J93" s="19"/>
      <c r="BA93" s="2">
        <v>1129</v>
      </c>
      <c r="BB93" s="52"/>
    </row>
    <row r="94" spans="1:54" ht="15" customHeight="1">
      <c r="A94" s="6"/>
      <c r="B94" s="7"/>
      <c r="C94" s="140">
        <v>82</v>
      </c>
      <c r="D94" s="8" t="str">
        <f>IF(ISERROR(VLOOKUP($C94,'START LİSTE'!$B$6:$F$1027,2,0)),"",VLOOKUP($C94,'START LİSTE'!$B$6:$F$1027,2,0))</f>
        <v>FERHAT KERELTİ</v>
      </c>
      <c r="E94" s="9" t="str">
        <f>IF(ISERROR(VLOOKUP($C94,'START LİSTE'!$B$6:$F$1027,4,0)),"",VLOOKUP($C94,'START LİSTE'!$B$6:$F$1027,4,0))</f>
        <v>T</v>
      </c>
      <c r="F94" s="107">
        <f>IF(ISERROR(VLOOKUP($C94,'FERDİ SONUÇ'!$B$6:$H$862,6,0)),"",VLOOKUP($C94,'FERDİ SONUÇ'!$B$6:$H$862,6,0))</f>
        <v>715</v>
      </c>
      <c r="G94" s="9">
        <f>IF(OR(E94="",F94="DQ",F94="DNF",F94="DNS",F94=""),"-",VLOOKUP(C94,'FERDİ SONUÇ'!$B$6:$H$862,7,0))</f>
        <v>18</v>
      </c>
      <c r="H94" s="9">
        <f>IF(OR(E94="",E94="F",F94="DQ",F94="DNF",F94="DNS",F94=""),"-",VLOOKUP(C94,'FERDİ SONUÇ'!$B$6:$H$862,7,0))</f>
        <v>18</v>
      </c>
      <c r="I94" s="11">
        <f>IF(ISERROR(SMALL(H94:H97,1)),"-",SMALL(H94:H97,1))</f>
        <v>18</v>
      </c>
      <c r="J94" s="12"/>
      <c r="BA94" s="2">
        <v>1132</v>
      </c>
      <c r="BB94" s="50"/>
    </row>
    <row r="95" spans="1:54" ht="15" customHeight="1">
      <c r="A95" s="13"/>
      <c r="B95" s="14"/>
      <c r="C95" s="141">
        <v>83</v>
      </c>
      <c r="D95" s="15" t="str">
        <f>IF(ISERROR(VLOOKUP($C95,'START LİSTE'!$B$6:$F$1027,2,0)),"",VLOOKUP($C95,'START LİSTE'!$B$6:$F$1027,2,0))</f>
        <v>ABDULLAH ÖZMEN</v>
      </c>
      <c r="E95" s="16" t="str">
        <f>IF(ISERROR(VLOOKUP($C95,'START LİSTE'!$B$6:$F$1027,4,0)),"",VLOOKUP($C95,'START LİSTE'!$B$6:$F$1027,4,0))</f>
        <v>T</v>
      </c>
      <c r="F95" s="108" t="str">
        <f>IF(ISERROR(VLOOKUP($C95,'FERDİ SONUÇ'!$B$6:$H$862,6,0)),"",VLOOKUP($C95,'FERDİ SONUÇ'!$B$6:$H$862,6,0))</f>
        <v>-</v>
      </c>
      <c r="G95" s="16">
        <f>IF(OR(E95="",F95="DQ",F95="DNF",F95="DNS",F95=""),"-",VLOOKUP(C95,'FERDİ SONUÇ'!$B$6:$H$862,7,0))</f>
        <v>75</v>
      </c>
      <c r="H95" s="16">
        <f>IF(OR(E95="",E95="F",F95="DQ",F95="DNF",F95="DNS",F95=""),"-",VLOOKUP(C95,'FERDİ SONUÇ'!$B$6:$H$862,7,0))</f>
        <v>75</v>
      </c>
      <c r="I95" s="18">
        <f>IF(ISERROR(SMALL(H94:H97,2)),"-",SMALL(H94:H97,2))</f>
        <v>66</v>
      </c>
      <c r="J95" s="19"/>
      <c r="BA95" s="2">
        <v>1133</v>
      </c>
      <c r="BB95" s="51"/>
    </row>
    <row r="96" spans="1:54" ht="15" customHeight="1">
      <c r="A96" s="30">
        <f>IF(AND(B96&lt;&gt;"",J96&lt;&gt;"DQ"),COUNT(J$6:J$245)-(RANK(J96,J$6:J$245)+COUNTIF(J$6:J96,J96))+2,IF(C94&lt;&gt;"",BA96,""))</f>
        <v>13</v>
      </c>
      <c r="B96" s="14" t="str">
        <f>IF(ISERROR(VLOOKUP(C94,'START LİSTE'!$B$6:$F$1027,3,0)),"",VLOOKUP(C94,'START LİSTE'!$B$6:$F$1027,3,0))</f>
        <v>MARDİN</v>
      </c>
      <c r="C96" s="141">
        <v>84</v>
      </c>
      <c r="D96" s="15" t="str">
        <f>IF(ISERROR(VLOOKUP($C96,'START LİSTE'!$B$6:$F$1027,2,0)),"",VLOOKUP($C96,'START LİSTE'!$B$6:$F$1027,2,0))</f>
        <v>HASAN ÇAÇA</v>
      </c>
      <c r="E96" s="16" t="str">
        <f>IF(ISERROR(VLOOKUP($C96,'START LİSTE'!$B$6:$F$1027,4,0)),"",VLOOKUP($C96,'START LİSTE'!$B$6:$F$1027,4,0))</f>
        <v>T</v>
      </c>
      <c r="F96" s="108" t="str">
        <f>IF(ISERROR(VLOOKUP($C96,'FERDİ SONUÇ'!$B$6:$H$862,6,0)),"",VLOOKUP($C96,'FERDİ SONUÇ'!$B$6:$H$862,6,0))</f>
        <v>-</v>
      </c>
      <c r="G96" s="16">
        <f>IF(OR(E96="",F96="DQ",F96="DNF",F96="DNS",F96=""),"-",VLOOKUP(C96,'FERDİ SONUÇ'!$B$6:$H$862,7,0))</f>
        <v>66</v>
      </c>
      <c r="H96" s="16">
        <f>IF(OR(E96="",E96="F",F96="DQ",F96="DNF",F96="DNS",F96=""),"-",VLOOKUP(C96,'FERDİ SONUÇ'!$B$6:$H$862,7,0))</f>
        <v>66</v>
      </c>
      <c r="I96" s="18">
        <f>IF(ISERROR(SMALL(H94:H97,3)),"-",SMALL(H94:H97,3))</f>
        <v>68</v>
      </c>
      <c r="J96" s="20">
        <f>IF(C94="","",IF(OR(I94="-",I95="-",I96="-"),"DQ",SUM(I94,I95,I96)))</f>
        <v>152</v>
      </c>
      <c r="BA96" s="2">
        <v>1134</v>
      </c>
      <c r="BB96" s="51"/>
    </row>
    <row r="97" spans="1:54" ht="15" customHeight="1">
      <c r="A97" s="13"/>
      <c r="B97" s="14"/>
      <c r="C97" s="141">
        <v>85</v>
      </c>
      <c r="D97" s="15" t="str">
        <f>IF(ISERROR(VLOOKUP($C97,'START LİSTE'!$B$6:$F$1027,2,0)),"",VLOOKUP($C97,'START LİSTE'!$B$6:$F$1027,2,0))</f>
        <v>EMİR HAN BİSEN</v>
      </c>
      <c r="E97" s="16" t="str">
        <f>IF(ISERROR(VLOOKUP($C97,'START LİSTE'!$B$6:$F$1027,4,0)),"",VLOOKUP($C97,'START LİSTE'!$B$6:$F$1027,4,0))</f>
        <v>T</v>
      </c>
      <c r="F97" s="108" t="str">
        <f>IF(ISERROR(VLOOKUP($C97,'FERDİ SONUÇ'!$B$6:$H$862,6,0)),"",VLOOKUP($C97,'FERDİ SONUÇ'!$B$6:$H$862,6,0))</f>
        <v>-</v>
      </c>
      <c r="G97" s="16">
        <f>IF(OR(E97="",F97="DQ",F97="DNF",F97="DNS",F97=""),"-",VLOOKUP(C97,'FERDİ SONUÇ'!$B$6:$H$862,7,0))</f>
        <v>68</v>
      </c>
      <c r="H97" s="16">
        <f>IF(OR(E97="",E97="F",F97="DQ",F97="DNF",F97="DNS",F97=""),"-",VLOOKUP(C97,'FERDİ SONUÇ'!$B$6:$H$862,7,0))</f>
        <v>68</v>
      </c>
      <c r="I97" s="18">
        <f>IF(ISERROR(SMALL(H94:H97,4)),"-",SMALL(H94:H97,4))</f>
        <v>75</v>
      </c>
      <c r="J97" s="19"/>
      <c r="BA97" s="2">
        <v>1135</v>
      </c>
      <c r="BB97" s="52"/>
    </row>
    <row r="98" spans="1:54" ht="15" customHeight="1">
      <c r="A98" s="6"/>
      <c r="B98" s="7"/>
      <c r="C98" s="140">
        <v>86</v>
      </c>
      <c r="D98" s="8" t="str">
        <f>IF(ISERROR(VLOOKUP($C98,'START LİSTE'!$B$6:$F$1027,2,0)),"",VLOOKUP($C98,'START LİSTE'!$B$6:$F$1027,2,0))</f>
        <v>SAMET SIRAKAYA</v>
      </c>
      <c r="E98" s="9" t="str">
        <f>IF(ISERROR(VLOOKUP($C98,'START LİSTE'!$B$6:$F$1027,4,0)),"",VLOOKUP($C98,'START LİSTE'!$B$6:$F$1027,4,0))</f>
        <v>T</v>
      </c>
      <c r="F98" s="107" t="str">
        <f>IF(ISERROR(VLOOKUP($C98,'FERDİ SONUÇ'!$B$6:$H$862,6,0)),"",VLOOKUP($C98,'FERDİ SONUÇ'!$B$6:$H$862,6,0))</f>
        <v>DNF</v>
      </c>
      <c r="G98" s="9" t="str">
        <f>IF(OR(E98="",F98="DQ",F98="DNF",F98="DNS",F98=""),"-",VLOOKUP(C98,'FERDİ SONUÇ'!$B$6:$H$862,7,0))</f>
        <v>-</v>
      </c>
      <c r="H98" s="9" t="str">
        <f>IF(OR(E98="",E98="F",F98="DQ",F98="DNF",F98="DNS",F98=""),"-",VLOOKUP(C98,'FERDİ SONUÇ'!$B$6:$H$862,7,0))</f>
        <v>-</v>
      </c>
      <c r="I98" s="11">
        <f>IF(ISERROR(SMALL(H98:H101,1)),"-",SMALL(H98:H101,1))</f>
        <v>21</v>
      </c>
      <c r="J98" s="12"/>
      <c r="BA98" s="2">
        <v>1138</v>
      </c>
      <c r="BB98" s="50"/>
    </row>
    <row r="99" spans="1:54" ht="15" customHeight="1">
      <c r="A99" s="13"/>
      <c r="B99" s="14"/>
      <c r="C99" s="141">
        <v>87</v>
      </c>
      <c r="D99" s="15" t="str">
        <f>IF(ISERROR(VLOOKUP($C99,'START LİSTE'!$B$6:$F$1027,2,0)),"",VLOOKUP($C99,'START LİSTE'!$B$6:$F$1027,2,0))</f>
        <v>EMİRCAN ŞENGÜL</v>
      </c>
      <c r="E99" s="16" t="str">
        <f>IF(ISERROR(VLOOKUP($C99,'START LİSTE'!$B$6:$F$1027,4,0)),"",VLOOKUP($C99,'START LİSTE'!$B$6:$F$1027,4,0))</f>
        <v>T</v>
      </c>
      <c r="F99" s="108" t="str">
        <f>IF(ISERROR(VLOOKUP($C99,'FERDİ SONUÇ'!$B$6:$H$862,6,0)),"",VLOOKUP($C99,'FERDİ SONUÇ'!$B$6:$H$862,6,0))</f>
        <v>-</v>
      </c>
      <c r="G99" s="16">
        <f>IF(OR(E99="",F99="DQ",F99="DNF",F99="DNS",F99=""),"-",VLOOKUP(C99,'FERDİ SONUÇ'!$B$6:$H$862,7,0))</f>
        <v>47</v>
      </c>
      <c r="H99" s="16">
        <f>IF(OR(E99="",E99="F",F99="DQ",F99="DNF",F99="DNS",F99=""),"-",VLOOKUP(C99,'FERDİ SONUÇ'!$B$6:$H$862,7,0))</f>
        <v>47</v>
      </c>
      <c r="I99" s="18">
        <f>IF(ISERROR(SMALL(H98:H101,2)),"-",SMALL(H98:H101,2))</f>
        <v>47</v>
      </c>
      <c r="J99" s="19"/>
      <c r="BA99" s="2">
        <v>1139</v>
      </c>
      <c r="BB99" s="51"/>
    </row>
    <row r="100" spans="1:54" ht="15" customHeight="1">
      <c r="A100" s="30">
        <f>IF(AND(B100&lt;&gt;"",J100&lt;&gt;"DQ"),COUNT(J$6:J$245)-(RANK(J100,J$6:J$245)+COUNTIF(J$6:J100,J100))+2,IF(C98&lt;&gt;"",BA100,""))</f>
        <v>1140</v>
      </c>
      <c r="B100" s="14" t="str">
        <f>IF(ISERROR(VLOOKUP(C98,'START LİSTE'!$B$6:$F$1027,3,0)),"",VLOOKUP(C98,'START LİSTE'!$B$6:$F$1027,3,0))</f>
        <v>NEVŞEHİR </v>
      </c>
      <c r="C100" s="141">
        <v>88</v>
      </c>
      <c r="D100" s="15" t="str">
        <f>IF(ISERROR(VLOOKUP($C100,'START LİSTE'!$B$6:$F$1027,2,0)),"",VLOOKUP($C100,'START LİSTE'!$B$6:$F$1027,2,0))</f>
        <v>ÜNAL YILMAZ </v>
      </c>
      <c r="E100" s="16" t="str">
        <f>IF(ISERROR(VLOOKUP($C100,'START LİSTE'!$B$6:$F$1027,4,0)),"",VLOOKUP($C100,'START LİSTE'!$B$6:$F$1027,4,0))</f>
        <v>T</v>
      </c>
      <c r="F100" s="108" t="str">
        <f>IF(ISERROR(VLOOKUP($C100,'FERDİ SONUÇ'!$B$6:$H$862,6,0)),"",VLOOKUP($C100,'FERDİ SONUÇ'!$B$6:$H$862,6,0))</f>
        <v>DNS</v>
      </c>
      <c r="G100" s="16" t="str">
        <f>IF(OR(E100="",F100="DQ",F100="DNF",F100="DNS",F100=""),"-",VLOOKUP(C100,'FERDİ SONUÇ'!$B$6:$H$862,7,0))</f>
        <v>-</v>
      </c>
      <c r="H100" s="16" t="str">
        <f>IF(OR(E100="",E100="F",F100="DQ",F100="DNF",F100="DNS",F100=""),"-",VLOOKUP(C100,'FERDİ SONUÇ'!$B$6:$H$862,7,0))</f>
        <v>-</v>
      </c>
      <c r="I100" s="18" t="str">
        <f>IF(ISERROR(SMALL(H98:H101,3)),"-",SMALL(H98:H101,3))</f>
        <v>-</v>
      </c>
      <c r="J100" s="20" t="str">
        <f>IF(C98="","",IF(OR(I98="-",I99="-",I100="-"),"DQ",SUM(I98,I99,I100)))</f>
        <v>DQ</v>
      </c>
      <c r="BA100" s="2">
        <v>1140</v>
      </c>
      <c r="BB100" s="51"/>
    </row>
    <row r="101" spans="1:54" ht="15" customHeight="1">
      <c r="A101" s="13"/>
      <c r="B101" s="14"/>
      <c r="C101" s="141">
        <v>89</v>
      </c>
      <c r="D101" s="15" t="str">
        <f>IF(ISERROR(VLOOKUP($C101,'START LİSTE'!$B$6:$F$1027,2,0)),"",VLOOKUP($C101,'START LİSTE'!$B$6:$F$1027,2,0))</f>
        <v>SERHAT GEÇKİN </v>
      </c>
      <c r="E101" s="16" t="str">
        <f>IF(ISERROR(VLOOKUP($C101,'START LİSTE'!$B$6:$F$1027,4,0)),"",VLOOKUP($C101,'START LİSTE'!$B$6:$F$1027,4,0))</f>
        <v>T</v>
      </c>
      <c r="F101" s="108" t="str">
        <f>IF(ISERROR(VLOOKUP($C101,'FERDİ SONUÇ'!$B$6:$H$862,6,0)),"",VLOOKUP($C101,'FERDİ SONUÇ'!$B$6:$H$862,6,0))</f>
        <v>-</v>
      </c>
      <c r="G101" s="16">
        <f>IF(OR(E101="",F101="DQ",F101="DNF",F101="DNS",F101=""),"-",VLOOKUP(C101,'FERDİ SONUÇ'!$B$6:$H$862,7,0))</f>
        <v>21</v>
      </c>
      <c r="H101" s="16">
        <f>IF(OR(E101="",E101="F",F101="DQ",F101="DNF",F101="DNS",F101=""),"-",VLOOKUP(C101,'FERDİ SONUÇ'!$B$6:$H$862,7,0))</f>
        <v>21</v>
      </c>
      <c r="I101" s="18" t="str">
        <f>IF(ISERROR(SMALL(H98:H101,4)),"-",SMALL(H98:H101,4))</f>
        <v>-</v>
      </c>
      <c r="J101" s="19"/>
      <c r="BA101" s="2">
        <v>1141</v>
      </c>
      <c r="BB101" s="52"/>
    </row>
    <row r="102" spans="1:54" ht="15" customHeight="1">
      <c r="A102" s="6"/>
      <c r="B102" s="7"/>
      <c r="C102" s="140">
        <v>90</v>
      </c>
      <c r="D102" s="8" t="str">
        <f>IF(ISERROR(VLOOKUP($C102,'START LİSTE'!$B$6:$F$1027,2,0)),"",VLOOKUP($C102,'START LİSTE'!$B$6:$F$1027,2,0))</f>
        <v>UMUTCAN EROZAN</v>
      </c>
      <c r="E102" s="9" t="str">
        <f>IF(ISERROR(VLOOKUP($C102,'START LİSTE'!$B$6:$F$1027,4,0)),"",VLOOKUP($C102,'START LİSTE'!$B$6:$F$1027,4,0))</f>
        <v>T</v>
      </c>
      <c r="F102" s="107" t="str">
        <f>IF(ISERROR(VLOOKUP($C102,'FERDİ SONUÇ'!$B$6:$H$862,6,0)),"",VLOOKUP($C102,'FERDİ SONUÇ'!$B$6:$H$862,6,0))</f>
        <v>-</v>
      </c>
      <c r="G102" s="9">
        <f>IF(OR(E102="",F102="DQ",F102="DNF",F102="DNS",F102=""),"-",VLOOKUP(C102,'FERDİ SONUÇ'!$B$6:$H$862,7,0))</f>
        <v>26</v>
      </c>
      <c r="H102" s="9">
        <f>IF(OR(E102="",E102="F",F102="DQ",F102="DNF",F102="DNS",F102=""),"-",VLOOKUP(C102,'FERDİ SONUÇ'!$B$6:$H$862,7,0))</f>
        <v>26</v>
      </c>
      <c r="I102" s="11">
        <f>IF(ISERROR(SMALL(H102:H105,1)),"-",SMALL(H102:H105,1))</f>
        <v>26</v>
      </c>
      <c r="J102" s="12"/>
      <c r="BA102" s="2">
        <v>1144</v>
      </c>
      <c r="BB102" s="50"/>
    </row>
    <row r="103" spans="1:54" ht="15" customHeight="1">
      <c r="A103" s="13"/>
      <c r="B103" s="14"/>
      <c r="C103" s="141">
        <v>91</v>
      </c>
      <c r="D103" s="15" t="str">
        <f>IF(ISERROR(VLOOKUP($C103,'START LİSTE'!$B$6:$F$1027,2,0)),"",VLOOKUP($C103,'START LİSTE'!$B$6:$F$1027,2,0))</f>
        <v>FARUK ŞİMŞİEK</v>
      </c>
      <c r="E103" s="16" t="str">
        <f>IF(ISERROR(VLOOKUP($C103,'START LİSTE'!$B$6:$F$1027,4,0)),"",VLOOKUP($C103,'START LİSTE'!$B$6:$F$1027,4,0))</f>
        <v>T</v>
      </c>
      <c r="F103" s="108" t="str">
        <f>IF(ISERROR(VLOOKUP($C103,'FERDİ SONUÇ'!$B$6:$H$862,6,0)),"",VLOOKUP($C103,'FERDİ SONUÇ'!$B$6:$H$862,6,0))</f>
        <v>-</v>
      </c>
      <c r="G103" s="16">
        <f>IF(OR(E103="",F103="DQ",F103="DNF",F103="DNS",F103=""),"-",VLOOKUP(C103,'FERDİ SONUÇ'!$B$6:$H$862,7,0))</f>
        <v>38</v>
      </c>
      <c r="H103" s="16">
        <f>IF(OR(E103="",E103="F",F103="DQ",F103="DNF",F103="DNS",F103=""),"-",VLOOKUP(C103,'FERDİ SONUÇ'!$B$6:$H$862,7,0))</f>
        <v>38</v>
      </c>
      <c r="I103" s="18">
        <f>IF(ISERROR(SMALL(H102:H105,2)),"-",SMALL(H102:H105,2))</f>
        <v>37</v>
      </c>
      <c r="J103" s="19"/>
      <c r="BA103" s="2">
        <v>1145</v>
      </c>
      <c r="BB103" s="51"/>
    </row>
    <row r="104" spans="1:54" ht="15" customHeight="1">
      <c r="A104" s="30">
        <f>IF(AND(B104&lt;&gt;"",J104&lt;&gt;"DQ"),COUNT(J$6:J$245)-(RANK(J104,J$6:J$245)+COUNTIF(J$6:J104,J104))+2,IF(C102&lt;&gt;"",BA104,""))</f>
        <v>7</v>
      </c>
      <c r="B104" s="14" t="str">
        <f>IF(ISERROR(VLOOKUP(C102,'START LİSTE'!$B$6:$F$1027,3,0)),"",VLOOKUP(C102,'START LİSTE'!$B$6:$F$1027,3,0))</f>
        <v>NİĞDE</v>
      </c>
      <c r="C104" s="141">
        <v>92</v>
      </c>
      <c r="D104" s="15" t="str">
        <f>IF(ISERROR(VLOOKUP($C104,'START LİSTE'!$B$6:$F$1027,2,0)),"",VLOOKUP($C104,'START LİSTE'!$B$6:$F$1027,2,0))</f>
        <v>MEHMET SEFA TIKIR</v>
      </c>
      <c r="E104" s="16" t="str">
        <f>IF(ISERROR(VLOOKUP($C104,'START LİSTE'!$B$6:$F$1027,4,0)),"",VLOOKUP($C104,'START LİSTE'!$B$6:$F$1027,4,0))</f>
        <v>T</v>
      </c>
      <c r="F104" s="108" t="str">
        <f>IF(ISERROR(VLOOKUP($C104,'FERDİ SONUÇ'!$B$6:$H$862,6,0)),"",VLOOKUP($C104,'FERDİ SONUÇ'!$B$6:$H$862,6,0))</f>
        <v>-</v>
      </c>
      <c r="G104" s="16">
        <f>IF(OR(E104="",F104="DQ",F104="DNF",F104="DNS",F104=""),"-",VLOOKUP(C104,'FERDİ SONUÇ'!$B$6:$H$862,7,0))</f>
        <v>37</v>
      </c>
      <c r="H104" s="16">
        <f>IF(OR(E104="",E104="F",F104="DQ",F104="DNF",F104="DNS",F104=""),"-",VLOOKUP(C104,'FERDİ SONUÇ'!$B$6:$H$862,7,0))</f>
        <v>37</v>
      </c>
      <c r="I104" s="18">
        <f>IF(ISERROR(SMALL(H102:H105,3)),"-",SMALL(H102:H105,3))</f>
        <v>38</v>
      </c>
      <c r="J104" s="20">
        <f>IF(C102="","",IF(OR(I102="-",I103="-",I104="-"),"DQ",SUM(I102,I103,I104)))</f>
        <v>101</v>
      </c>
      <c r="BA104" s="2">
        <v>1146</v>
      </c>
      <c r="BB104" s="51"/>
    </row>
    <row r="105" spans="1:54" ht="15" customHeight="1">
      <c r="A105" s="13"/>
      <c r="B105" s="14"/>
      <c r="C105" s="141">
        <v>93</v>
      </c>
      <c r="D105" s="15" t="str">
        <f>IF(ISERROR(VLOOKUP($C105,'START LİSTE'!$B$6:$F$1027,2,0)),"",VLOOKUP($C105,'START LİSTE'!$B$6:$F$1027,2,0))</f>
        <v>ALİ CEYHAN</v>
      </c>
      <c r="E105" s="16" t="str">
        <f>IF(ISERROR(VLOOKUP($C105,'START LİSTE'!$B$6:$F$1027,4,0)),"",VLOOKUP($C105,'START LİSTE'!$B$6:$F$1027,4,0))</f>
        <v>T</v>
      </c>
      <c r="F105" s="108" t="str">
        <f>IF(ISERROR(VLOOKUP($C105,'FERDİ SONUÇ'!$B$6:$H$862,6,0)),"",VLOOKUP($C105,'FERDİ SONUÇ'!$B$6:$H$862,6,0))</f>
        <v>-</v>
      </c>
      <c r="G105" s="16">
        <f>IF(OR(E105="",F105="DQ",F105="DNF",F105="DNS",F105=""),"-",VLOOKUP(C105,'FERDİ SONUÇ'!$B$6:$H$862,7,0))</f>
        <v>51</v>
      </c>
      <c r="H105" s="16">
        <f>IF(OR(E105="",E105="F",F105="DQ",F105="DNF",F105="DNS",F105=""),"-",VLOOKUP(C105,'FERDİ SONUÇ'!$B$6:$H$862,7,0))</f>
        <v>51</v>
      </c>
      <c r="I105" s="18">
        <f>IF(ISERROR(SMALL(H102:H105,4)),"-",SMALL(H102:H105,4))</f>
        <v>51</v>
      </c>
      <c r="J105" s="19"/>
      <c r="BA105" s="2">
        <v>1147</v>
      </c>
      <c r="BB105" s="52"/>
    </row>
    <row r="106" spans="1:54" ht="15" customHeight="1">
      <c r="A106" s="6"/>
      <c r="B106" s="7"/>
      <c r="C106" s="140">
        <v>94</v>
      </c>
      <c r="D106" s="8" t="str">
        <f>IF(ISERROR(VLOOKUP($C106,'START LİSTE'!$B$6:$F$1027,2,0)),"",VLOOKUP($C106,'START LİSTE'!$B$6:$F$1027,2,0))</f>
        <v>RAMAZAN TETİK</v>
      </c>
      <c r="E106" s="9" t="str">
        <f>IF(ISERROR(VLOOKUP($C106,'START LİSTE'!$B$6:$F$1027,4,0)),"",VLOOKUP($C106,'START LİSTE'!$B$6:$F$1027,4,0))</f>
        <v>T</v>
      </c>
      <c r="F106" s="107" t="str">
        <f>IF(ISERROR(VLOOKUP($C106,'FERDİ SONUÇ'!$B$6:$H$862,6,0)),"",VLOOKUP($C106,'FERDİ SONUÇ'!$B$6:$H$862,6,0))</f>
        <v>-</v>
      </c>
      <c r="G106" s="9">
        <f>IF(OR(E106="",F106="DQ",F106="DNF",F106="DNS",F106=""),"-",VLOOKUP(C106,'FERDİ SONUÇ'!$B$6:$H$862,7,0))</f>
        <v>32</v>
      </c>
      <c r="H106" s="9">
        <f>IF(OR(E106="",E106="F",F106="DQ",F106="DNF",F106="DNS",F106=""),"-",VLOOKUP(C106,'FERDİ SONUÇ'!$B$6:$H$862,7,0))</f>
        <v>32</v>
      </c>
      <c r="I106" s="11">
        <f>IF(ISERROR(SMALL(H106:H109,1)),"-",SMALL(H106:H109,1))</f>
        <v>32</v>
      </c>
      <c r="J106" s="12"/>
      <c r="BA106" s="2">
        <v>1150</v>
      </c>
      <c r="BB106" s="50"/>
    </row>
    <row r="107" spans="1:54" ht="15" customHeight="1">
      <c r="A107" s="13"/>
      <c r="B107" s="14"/>
      <c r="C107" s="141">
        <v>95</v>
      </c>
      <c r="D107" s="15" t="str">
        <f>IF(ISERROR(VLOOKUP($C107,'START LİSTE'!$B$6:$F$1027,2,0)),"",VLOOKUP($C107,'START LİSTE'!$B$6:$F$1027,2,0))</f>
        <v>UĞUR TAŞ</v>
      </c>
      <c r="E107" s="16" t="str">
        <f>IF(ISERROR(VLOOKUP($C107,'START LİSTE'!$B$6:$F$1027,4,0)),"",VLOOKUP($C107,'START LİSTE'!$B$6:$F$1027,4,0))</f>
        <v>T</v>
      </c>
      <c r="F107" s="108" t="str">
        <f>IF(ISERROR(VLOOKUP($C107,'FERDİ SONUÇ'!$B$6:$H$862,6,0)),"",VLOOKUP($C107,'FERDİ SONUÇ'!$B$6:$H$862,6,0))</f>
        <v>-</v>
      </c>
      <c r="G107" s="16">
        <f>IF(OR(E107="",F107="DQ",F107="DNF",F107="DNS",F107=""),"-",VLOOKUP(C107,'FERDİ SONUÇ'!$B$6:$H$862,7,0))</f>
        <v>39</v>
      </c>
      <c r="H107" s="16">
        <f>IF(OR(E107="",E107="F",F107="DQ",F107="DNF",F107="DNS",F107=""),"-",VLOOKUP(C107,'FERDİ SONUÇ'!$B$6:$H$862,7,0))</f>
        <v>39</v>
      </c>
      <c r="I107" s="18">
        <f>IF(ISERROR(SMALL(H106:H109,2)),"-",SMALL(H106:H109,2))</f>
        <v>34</v>
      </c>
      <c r="J107" s="19"/>
      <c r="BA107" s="2">
        <v>1151</v>
      </c>
      <c r="BB107" s="51"/>
    </row>
    <row r="108" spans="1:54" ht="15" customHeight="1">
      <c r="A108" s="30">
        <f>IF(AND(B108&lt;&gt;"",J108&lt;&gt;"DQ"),COUNT(J$6:J$245)-(RANK(J108,J$6:J$245)+COUNTIF(J$6:J108,J108))+2,IF(C106&lt;&gt;"",BA108,""))</f>
        <v>8</v>
      </c>
      <c r="B108" s="14" t="str">
        <f>IF(ISERROR(VLOOKUP(C106,'START LİSTE'!$B$6:$F$1027,3,0)),"",VLOOKUP(C106,'START LİSTE'!$B$6:$F$1027,3,0))</f>
        <v>SİİRT</v>
      </c>
      <c r="C108" s="141">
        <v>96</v>
      </c>
      <c r="D108" s="15" t="str">
        <f>IF(ISERROR(VLOOKUP($C108,'START LİSTE'!$B$6:$F$1027,2,0)),"",VLOOKUP($C108,'START LİSTE'!$B$6:$F$1027,2,0))</f>
        <v>MUSTAFA GÜRHAN</v>
      </c>
      <c r="E108" s="16" t="str">
        <f>IF(ISERROR(VLOOKUP($C108,'START LİSTE'!$B$6:$F$1027,4,0)),"",VLOOKUP($C108,'START LİSTE'!$B$6:$F$1027,4,0))</f>
        <v>T</v>
      </c>
      <c r="F108" s="108" t="str">
        <f>IF(ISERROR(VLOOKUP($C108,'FERDİ SONUÇ'!$B$6:$H$862,6,0)),"",VLOOKUP($C108,'FERDİ SONUÇ'!$B$6:$H$862,6,0))</f>
        <v>DQ</v>
      </c>
      <c r="G108" s="16" t="str">
        <f>IF(OR(E108="",F108="DQ",F108="DNF",F108="DNS",F108=""),"-",VLOOKUP(C108,'FERDİ SONUÇ'!$B$6:$H$862,7,0))</f>
        <v>-</v>
      </c>
      <c r="H108" s="16" t="str">
        <f>IF(OR(E108="",E108="F",F108="DQ",F108="DNF",F108="DNS",F108=""),"-",VLOOKUP(C108,'FERDİ SONUÇ'!$B$6:$H$862,7,0))</f>
        <v>-</v>
      </c>
      <c r="I108" s="18">
        <f>IF(ISERROR(SMALL(H106:H109,3)),"-",SMALL(H106:H109,3))</f>
        <v>39</v>
      </c>
      <c r="J108" s="20">
        <f>IF(C106="","",IF(OR(I106="-",I107="-",I108="-"),"DQ",SUM(I106,I107,I108)))</f>
        <v>105</v>
      </c>
      <c r="BA108" s="2">
        <v>1152</v>
      </c>
      <c r="BB108" s="51"/>
    </row>
    <row r="109" spans="1:54" ht="15" customHeight="1">
      <c r="A109" s="13"/>
      <c r="B109" s="14"/>
      <c r="C109" s="141">
        <v>97</v>
      </c>
      <c r="D109" s="15" t="str">
        <f>IF(ISERROR(VLOOKUP($C109,'START LİSTE'!$B$6:$F$1027,2,0)),"",VLOOKUP($C109,'START LİSTE'!$B$6:$F$1027,2,0))</f>
        <v>DOĞAN KALKAN</v>
      </c>
      <c r="E109" s="16" t="str">
        <f>IF(ISERROR(VLOOKUP($C109,'START LİSTE'!$B$6:$F$1027,4,0)),"",VLOOKUP($C109,'START LİSTE'!$B$6:$F$1027,4,0))</f>
        <v>T</v>
      </c>
      <c r="F109" s="108" t="str">
        <f>IF(ISERROR(VLOOKUP($C109,'FERDİ SONUÇ'!$B$6:$H$862,6,0)),"",VLOOKUP($C109,'FERDİ SONUÇ'!$B$6:$H$862,6,0))</f>
        <v>-</v>
      </c>
      <c r="G109" s="16">
        <f>IF(OR(E109="",F109="DQ",F109="DNF",F109="DNS",F109=""),"-",VLOOKUP(C109,'FERDİ SONUÇ'!$B$6:$H$862,7,0))</f>
        <v>34</v>
      </c>
      <c r="H109" s="16">
        <f>IF(OR(E109="",E109="F",F109="DQ",F109="DNF",F109="DNS",F109=""),"-",VLOOKUP(C109,'FERDİ SONUÇ'!$B$6:$H$862,7,0))</f>
        <v>34</v>
      </c>
      <c r="I109" s="18" t="str">
        <f>IF(ISERROR(SMALL(H106:H109,4)),"-",SMALL(H106:H109,4))</f>
        <v>-</v>
      </c>
      <c r="J109" s="19"/>
      <c r="BA109" s="2">
        <v>1153</v>
      </c>
      <c r="BB109" s="52"/>
    </row>
    <row r="110" spans="1:54" ht="15" customHeight="1">
      <c r="A110" s="6"/>
      <c r="B110" s="7"/>
      <c r="C110" s="140">
        <v>98</v>
      </c>
      <c r="D110" s="8" t="str">
        <f>IF(ISERROR(VLOOKUP($C110,'START LİSTE'!$B$6:$F$1027,2,0)),"",VLOOKUP($C110,'START LİSTE'!$B$6:$F$1027,2,0))</f>
        <v>TUNAHAN KARGI</v>
      </c>
      <c r="E110" s="9" t="str">
        <f>IF(ISERROR(VLOOKUP($C110,'START LİSTE'!$B$6:$F$1027,4,0)),"",VLOOKUP($C110,'START LİSTE'!$B$6:$F$1027,4,0))</f>
        <v>T</v>
      </c>
      <c r="F110" s="107" t="str">
        <f>IF(ISERROR(VLOOKUP($C110,'FERDİ SONUÇ'!$B$6:$H$862,6,0)),"",VLOOKUP($C110,'FERDİ SONUÇ'!$B$6:$H$862,6,0))</f>
        <v>-</v>
      </c>
      <c r="G110" s="9">
        <f>IF(OR(E110="",F110="DQ",F110="DNF",F110="DNS",F110=""),"-",VLOOKUP(C110,'FERDİ SONUÇ'!$B$6:$H$862,7,0))</f>
        <v>35</v>
      </c>
      <c r="H110" s="9">
        <f>IF(OR(E110="",E110="F",F110="DQ",F110="DNF",F110="DNS",F110=""),"-",VLOOKUP(C110,'FERDİ SONUÇ'!$B$6:$H$862,7,0))</f>
        <v>35</v>
      </c>
      <c r="I110" s="11">
        <f>IF(ISERROR(SMALL(H110:H113,1)),"-",SMALL(H110:H113,1))</f>
        <v>35</v>
      </c>
      <c r="J110" s="12"/>
      <c r="BA110" s="2">
        <v>1156</v>
      </c>
      <c r="BB110" s="50"/>
    </row>
    <row r="111" spans="1:54" ht="15" customHeight="1">
      <c r="A111" s="13"/>
      <c r="B111" s="14"/>
      <c r="C111" s="141">
        <v>99</v>
      </c>
      <c r="D111" s="15" t="str">
        <f>IF(ISERROR(VLOOKUP($C111,'START LİSTE'!$B$6:$F$1027,2,0)),"",VLOOKUP($C111,'START LİSTE'!$B$6:$F$1027,2,0))</f>
        <v>SEMİH SARI</v>
      </c>
      <c r="E111" s="16" t="str">
        <f>IF(ISERROR(VLOOKUP($C111,'START LİSTE'!$B$6:$F$1027,4,0)),"",VLOOKUP($C111,'START LİSTE'!$B$6:$F$1027,4,0))</f>
        <v>T</v>
      </c>
      <c r="F111" s="108" t="str">
        <f>IF(ISERROR(VLOOKUP($C111,'FERDİ SONUÇ'!$B$6:$H$862,6,0)),"",VLOOKUP($C111,'FERDİ SONUÇ'!$B$6:$H$862,6,0))</f>
        <v>-</v>
      </c>
      <c r="G111" s="16">
        <f>IF(OR(E111="",F111="DQ",F111="DNF",F111="DNS",F111=""),"-",VLOOKUP(C111,'FERDİ SONUÇ'!$B$6:$H$862,7,0))</f>
        <v>57</v>
      </c>
      <c r="H111" s="16">
        <f>IF(OR(E111="",E111="F",F111="DQ",F111="DNF",F111="DNS",F111=""),"-",VLOOKUP(C111,'FERDİ SONUÇ'!$B$6:$H$862,7,0))</f>
        <v>57</v>
      </c>
      <c r="I111" s="18">
        <f>IF(ISERROR(SMALL(H110:H113,2)),"-",SMALL(H110:H113,2))</f>
        <v>57</v>
      </c>
      <c r="J111" s="19"/>
      <c r="BA111" s="2">
        <v>1157</v>
      </c>
      <c r="BB111" s="51"/>
    </row>
    <row r="112" spans="1:54" ht="15" customHeight="1">
      <c r="A112" s="30">
        <f>IF(AND(B112&lt;&gt;"",J112&lt;&gt;"DQ"),COUNT(J$6:J$245)-(RANK(J112,J$6:J$245)+COUNTIF(J$6:J112,J112))+2,IF(C110&lt;&gt;"",BA112,""))</f>
        <v>12</v>
      </c>
      <c r="B112" s="14" t="str">
        <f>IF(ISERROR(VLOOKUP(C110,'START LİSTE'!$B$6:$F$1027,3,0)),"",VLOOKUP(C110,'START LİSTE'!$B$6:$F$1027,3,0))</f>
        <v>TOKAT İL KARMASI</v>
      </c>
      <c r="C112" s="141">
        <v>100</v>
      </c>
      <c r="D112" s="15" t="str">
        <f>IF(ISERROR(VLOOKUP($C112,'START LİSTE'!$B$6:$F$1027,2,0)),"",VLOOKUP($C112,'START LİSTE'!$B$6:$F$1027,2,0))</f>
        <v>ÇAĞLAR KARADAĞ</v>
      </c>
      <c r="E112" s="16" t="str">
        <f>IF(ISERROR(VLOOKUP($C112,'START LİSTE'!$B$6:$F$1027,4,0)),"",VLOOKUP($C112,'START LİSTE'!$B$6:$F$1027,4,0))</f>
        <v>T</v>
      </c>
      <c r="F112" s="108" t="str">
        <f>IF(ISERROR(VLOOKUP($C112,'FERDİ SONUÇ'!$B$6:$H$862,6,0)),"",VLOOKUP($C112,'FERDİ SONUÇ'!$B$6:$H$862,6,0))</f>
        <v>-</v>
      </c>
      <c r="G112" s="16">
        <f>IF(OR(E112="",F112="DQ",F112="DNF",F112="DNS",F112=""),"-",VLOOKUP(C112,'FERDİ SONUÇ'!$B$6:$H$862,7,0))</f>
        <v>60</v>
      </c>
      <c r="H112" s="16">
        <f>IF(OR(E112="",E112="F",F112="DQ",F112="DNF",F112="DNS",F112=""),"-",VLOOKUP(C112,'FERDİ SONUÇ'!$B$6:$H$862,7,0))</f>
        <v>60</v>
      </c>
      <c r="I112" s="18">
        <f>IF(ISERROR(SMALL(H110:H113,3)),"-",SMALL(H110:H113,3))</f>
        <v>60</v>
      </c>
      <c r="J112" s="20">
        <f>IF(C110="","",IF(OR(I110="-",I111="-",I112="-"),"DQ",SUM(I110,I111,I112)))</f>
        <v>152</v>
      </c>
      <c r="BA112" s="2">
        <v>1158</v>
      </c>
      <c r="BB112" s="51"/>
    </row>
    <row r="113" spans="1:54" ht="15" customHeight="1">
      <c r="A113" s="13"/>
      <c r="B113" s="14"/>
      <c r="C113" s="141" t="s">
        <v>32</v>
      </c>
      <c r="D113" s="15" t="str">
        <f>IF(ISERROR(VLOOKUP($C113,'START LİSTE'!$B$6:$F$1027,2,0)),"",VLOOKUP($C113,'START LİSTE'!$B$6:$F$1027,2,0))</f>
        <v>-</v>
      </c>
      <c r="E113" s="16" t="str">
        <f>IF(ISERROR(VLOOKUP($C113,'START LİSTE'!$B$6:$F$1027,4,0)),"",VLOOKUP($C113,'START LİSTE'!$B$6:$F$1027,4,0))</f>
        <v>T</v>
      </c>
      <c r="F113" s="108">
        <f>IF(ISERROR(VLOOKUP($C113,'FERDİ SONUÇ'!$B$6:$H$862,6,0)),"",VLOOKUP($C113,'FERDİ SONUÇ'!$B$6:$H$862,6,0))</f>
      </c>
      <c r="G113" s="16" t="str">
        <f>IF(OR(E113="",F113="DQ",F113="DNF",F113="DNS",F113=""),"-",VLOOKUP(C113,'FERDİ SONUÇ'!$B$6:$H$862,7,0))</f>
        <v>-</v>
      </c>
      <c r="H113" s="16" t="str">
        <f>IF(OR(E113="",E113="F",F113="DQ",F113="DNF",F113="DNS",F113=""),"-",VLOOKUP(C113,'FERDİ SONUÇ'!$B$6:$H$862,7,0))</f>
        <v>-</v>
      </c>
      <c r="I113" s="18" t="str">
        <f>IF(ISERROR(SMALL(H110:H113,4)),"-",SMALL(H110:H113,4))</f>
        <v>-</v>
      </c>
      <c r="J113" s="19"/>
      <c r="BA113" s="2">
        <v>1159</v>
      </c>
      <c r="BB113" s="52"/>
    </row>
    <row r="114" spans="1:54" ht="15" customHeight="1">
      <c r="A114" s="6"/>
      <c r="B114" s="7"/>
      <c r="C114" s="140">
        <v>102</v>
      </c>
      <c r="D114" s="8" t="str">
        <f>IF(ISERROR(VLOOKUP($C114,'START LİSTE'!$B$6:$F$1027,2,0)),"",VLOOKUP($C114,'START LİSTE'!$B$6:$F$1027,2,0))</f>
        <v>RAHMİ DOĞAN</v>
      </c>
      <c r="E114" s="9" t="str">
        <f>IF(ISERROR(VLOOKUP($C114,'START LİSTE'!$B$6:$F$1027,4,0)),"",VLOOKUP($C114,'START LİSTE'!$B$6:$F$1027,4,0))</f>
        <v>T</v>
      </c>
      <c r="F114" s="107" t="str">
        <f>IF(ISERROR(VLOOKUP($C114,'FERDİ SONUÇ'!$B$6:$H$862,6,0)),"",VLOOKUP($C114,'FERDİ SONUÇ'!$B$6:$H$862,6,0))</f>
        <v>-</v>
      </c>
      <c r="G114" s="9">
        <f>IF(OR(E114="",F114="DQ",F114="DNF",F114="DNS",F114=""),"-",VLOOKUP(C114,'FERDİ SONUÇ'!$B$6:$H$862,7,0))</f>
        <v>55</v>
      </c>
      <c r="H114" s="9">
        <f>IF(OR(E114="",E114="F",F114="DQ",F114="DNF",F114="DNS",F114=""),"-",VLOOKUP(C114,'FERDİ SONUÇ'!$B$6:$H$862,7,0))</f>
        <v>55</v>
      </c>
      <c r="I114" s="11">
        <f>IF(ISERROR(SMALL(H114:H117,1)),"-",SMALL(H114:H117,1))</f>
        <v>22</v>
      </c>
      <c r="J114" s="12"/>
      <c r="BA114" s="2">
        <v>1162</v>
      </c>
      <c r="BB114" s="50"/>
    </row>
    <row r="115" spans="1:54" ht="15" customHeight="1">
      <c r="A115" s="13"/>
      <c r="B115" s="14"/>
      <c r="C115" s="141">
        <v>103</v>
      </c>
      <c r="D115" s="15" t="str">
        <f>IF(ISERROR(VLOOKUP($C115,'START LİSTE'!$B$6:$F$1027,2,0)),"",VLOOKUP($C115,'START LİSTE'!$B$6:$F$1027,2,0))</f>
        <v>EMRE YILMAZ</v>
      </c>
      <c r="E115" s="16" t="str">
        <f>IF(ISERROR(VLOOKUP($C115,'START LİSTE'!$B$6:$F$1027,4,0)),"",VLOOKUP($C115,'START LİSTE'!$B$6:$F$1027,4,0))</f>
        <v>T</v>
      </c>
      <c r="F115" s="108" t="str">
        <f>IF(ISERROR(VLOOKUP($C115,'FERDİ SONUÇ'!$B$6:$H$862,6,0)),"",VLOOKUP($C115,'FERDİ SONUÇ'!$B$6:$H$862,6,0))</f>
        <v>-</v>
      </c>
      <c r="G115" s="16">
        <f>IF(OR(E115="",F115="DQ",F115="DNF",F115="DNS",F115=""),"-",VLOOKUP(C115,'FERDİ SONUÇ'!$B$6:$H$862,7,0))</f>
        <v>22</v>
      </c>
      <c r="H115" s="16">
        <f>IF(OR(E115="",E115="F",F115="DQ",F115="DNF",F115="DNS",F115=""),"-",VLOOKUP(C115,'FERDİ SONUÇ'!$B$6:$H$862,7,0))</f>
        <v>22</v>
      </c>
      <c r="I115" s="18">
        <f>IF(ISERROR(SMALL(H114:H117,2)),"-",SMALL(H114:H117,2))</f>
        <v>53</v>
      </c>
      <c r="J115" s="19"/>
      <c r="BA115" s="2">
        <v>1163</v>
      </c>
      <c r="BB115" s="51"/>
    </row>
    <row r="116" spans="1:54" ht="15" customHeight="1">
      <c r="A116" s="30">
        <f>IF(AND(B116&lt;&gt;"",J116&lt;&gt;"DQ"),COUNT(J$6:J$245)-(RANK(J116,J$6:J$245)+COUNTIF(J$6:J116,J116))+2,IF(C114&lt;&gt;"",BA116,""))</f>
        <v>10</v>
      </c>
      <c r="B116" s="14" t="str">
        <f>IF(ISERROR(VLOOKUP(C114,'START LİSTE'!$B$6:$F$1027,3,0)),"",VLOOKUP(C114,'START LİSTE'!$B$6:$F$1027,3,0))</f>
        <v>SİVAS İL KARMASI</v>
      </c>
      <c r="C116" s="141">
        <v>104</v>
      </c>
      <c r="D116" s="15" t="str">
        <f>IF(ISERROR(VLOOKUP($C116,'START LİSTE'!$B$6:$F$1027,2,0)),"",VLOOKUP($C116,'START LİSTE'!$B$6:$F$1027,2,0))</f>
        <v>AHMET KARA</v>
      </c>
      <c r="E116" s="16" t="str">
        <f>IF(ISERROR(VLOOKUP($C116,'START LİSTE'!$B$6:$F$1027,4,0)),"",VLOOKUP($C116,'START LİSTE'!$B$6:$F$1027,4,0))</f>
        <v>T</v>
      </c>
      <c r="F116" s="108" t="str">
        <f>IF(ISERROR(VLOOKUP($C116,'FERDİ SONUÇ'!$B$6:$H$862,6,0)),"",VLOOKUP($C116,'FERDİ SONUÇ'!$B$6:$H$862,6,0))</f>
        <v>-</v>
      </c>
      <c r="G116" s="16">
        <f>IF(OR(E116="",F116="DQ",F116="DNF",F116="DNS",F116=""),"-",VLOOKUP(C116,'FERDİ SONUÇ'!$B$6:$H$862,7,0))</f>
        <v>53</v>
      </c>
      <c r="H116" s="16">
        <f>IF(OR(E116="",E116="F",F116="DQ",F116="DNF",F116="DNS",F116=""),"-",VLOOKUP(C116,'FERDİ SONUÇ'!$B$6:$H$862,7,0))</f>
        <v>53</v>
      </c>
      <c r="I116" s="18">
        <f>IF(ISERROR(SMALL(H114:H117,3)),"-",SMALL(H114:H117,3))</f>
        <v>55</v>
      </c>
      <c r="J116" s="20">
        <f>IF(C114="","",IF(OR(I114="-",I115="-",I116="-"),"DQ",SUM(I114,I115,I116)))</f>
        <v>130</v>
      </c>
      <c r="BA116" s="2">
        <v>1164</v>
      </c>
      <c r="BB116" s="51"/>
    </row>
    <row r="117" spans="1:54" ht="15" customHeight="1">
      <c r="A117" s="13"/>
      <c r="B117" s="14"/>
      <c r="C117" s="141" t="s">
        <v>32</v>
      </c>
      <c r="D117" s="15" t="str">
        <f>IF(ISERROR(VLOOKUP($C117,'START LİSTE'!$B$6:$F$1027,2,0)),"",VLOOKUP($C117,'START LİSTE'!$B$6:$F$1027,2,0))</f>
        <v>-</v>
      </c>
      <c r="E117" s="16" t="str">
        <f>IF(ISERROR(VLOOKUP($C117,'START LİSTE'!$B$6:$F$1027,4,0)),"",VLOOKUP($C117,'START LİSTE'!$B$6:$F$1027,4,0))</f>
        <v>T</v>
      </c>
      <c r="F117" s="108">
        <f>IF(ISERROR(VLOOKUP($C117,'FERDİ SONUÇ'!$B$6:$H$862,6,0)),"",VLOOKUP($C117,'FERDİ SONUÇ'!$B$6:$H$862,6,0))</f>
      </c>
      <c r="G117" s="16" t="str">
        <f>IF(OR(E117="",F117="DQ",F117="DNF",F117="DNS",F117=""),"-",VLOOKUP(C117,'FERDİ SONUÇ'!$B$6:$H$862,7,0))</f>
        <v>-</v>
      </c>
      <c r="H117" s="16" t="str">
        <f>IF(OR(E117="",E117="F",F117="DQ",F117="DNF",F117="DNS",F117=""),"-",VLOOKUP(C117,'FERDİ SONUÇ'!$B$6:$H$862,7,0))</f>
        <v>-</v>
      </c>
      <c r="I117" s="18" t="str">
        <f>IF(ISERROR(SMALL(H114:H117,4)),"-",SMALL(H114:H117,4))</f>
        <v>-</v>
      </c>
      <c r="J117" s="19"/>
      <c r="BA117" s="2">
        <v>1165</v>
      </c>
      <c r="BB117" s="52"/>
    </row>
    <row r="118" spans="1:54" ht="15" customHeight="1">
      <c r="A118" s="6"/>
      <c r="B118" s="7"/>
      <c r="C118" s="140"/>
      <c r="D118" s="8">
        <f>IF(ISERROR(VLOOKUP($C118,'START LİSTE'!$B$6:$F$1027,2,0)),"",VLOOKUP($C118,'START LİSTE'!$B$6:$F$1027,2,0))</f>
      </c>
      <c r="E118" s="9">
        <f>IF(ISERROR(VLOOKUP($C118,'START LİSTE'!$B$6:$F$1027,4,0)),"",VLOOKUP($C118,'START LİSTE'!$B$6:$F$1027,4,0))</f>
      </c>
      <c r="F118" s="107">
        <f>IF(ISERROR(VLOOKUP($C118,'FERDİ SONUÇ'!$B$6:$H$862,6,0)),"",VLOOKUP($C118,'FERDİ SONUÇ'!$B$6:$H$862,6,0))</f>
      </c>
      <c r="G118" s="9" t="str">
        <f>IF(OR(E118="",F118="DQ",F118="DNF",F118="DNS",F118=""),"-",VLOOKUP(C118,'FERDİ SONUÇ'!$B$6:$H$862,7,0))</f>
        <v>-</v>
      </c>
      <c r="H118" s="9" t="str">
        <f>IF(OR(E118="",E118="F",F118="DQ",F118="DNF",F118="DNS",F118=""),"-",VLOOKUP(C118,'FERDİ SONUÇ'!$B$6:$H$862,7,0))</f>
        <v>-</v>
      </c>
      <c r="I118" s="11" t="str">
        <f>IF(ISERROR(SMALL(H118:H121,1)),"-",SMALL(H118:H121,1))</f>
        <v>-</v>
      </c>
      <c r="J118" s="12"/>
      <c r="BA118" s="2">
        <v>1168</v>
      </c>
      <c r="BB118" s="50"/>
    </row>
    <row r="119" spans="1:54" ht="15" customHeight="1">
      <c r="A119" s="13"/>
      <c r="B119" s="14"/>
      <c r="C119" s="141"/>
      <c r="D119" s="15">
        <f>IF(ISERROR(VLOOKUP($C119,'START LİSTE'!$B$6:$F$1027,2,0)),"",VLOOKUP($C119,'START LİSTE'!$B$6:$F$1027,2,0))</f>
      </c>
      <c r="E119" s="16">
        <f>IF(ISERROR(VLOOKUP($C119,'START LİSTE'!$B$6:$F$1027,4,0)),"",VLOOKUP($C119,'START LİSTE'!$B$6:$F$1027,4,0))</f>
      </c>
      <c r="F119" s="108">
        <f>IF(ISERROR(VLOOKUP($C119,'FERDİ SONUÇ'!$B$6:$H$862,6,0)),"",VLOOKUP($C119,'FERDİ SONUÇ'!$B$6:$H$862,6,0))</f>
      </c>
      <c r="G119" s="16" t="str">
        <f>IF(OR(E119="",F119="DQ",F119="DNF",F119="DNS",F119=""),"-",VLOOKUP(C119,'FERDİ SONUÇ'!$B$6:$H$862,7,0))</f>
        <v>-</v>
      </c>
      <c r="H119" s="16" t="str">
        <f>IF(OR(E119="",E119="F",F119="DQ",F119="DNF",F119="DNS",F119=""),"-",VLOOKUP(C119,'FERDİ SONUÇ'!$B$6:$H$862,7,0))</f>
        <v>-</v>
      </c>
      <c r="I119" s="18" t="str">
        <f>IF(ISERROR(SMALL(H118:H121,2)),"-",SMALL(H118:H121,2))</f>
        <v>-</v>
      </c>
      <c r="J119" s="19"/>
      <c r="BA119" s="2">
        <v>1169</v>
      </c>
      <c r="BB119" s="51"/>
    </row>
    <row r="120" spans="1:54" ht="15" customHeight="1">
      <c r="A120" s="30">
        <f>IF(AND(B120&lt;&gt;"",J120&lt;&gt;"DQ"),COUNT(J$6:J$245)-(RANK(J120,J$6:J$245)+COUNTIF(J$6:J120,J120))+2,IF(C118&lt;&gt;"",BA120,""))</f>
      </c>
      <c r="B120" s="14">
        <f>IF(ISERROR(VLOOKUP(C118,'START LİSTE'!$B$6:$F$1027,3,0)),"",VLOOKUP(C118,'START LİSTE'!$B$6:$F$1027,3,0))</f>
      </c>
      <c r="C120" s="141"/>
      <c r="D120" s="15">
        <f>IF(ISERROR(VLOOKUP($C120,'START LİSTE'!$B$6:$F$1027,2,0)),"",VLOOKUP($C120,'START LİSTE'!$B$6:$F$1027,2,0))</f>
      </c>
      <c r="E120" s="16">
        <f>IF(ISERROR(VLOOKUP($C120,'START LİSTE'!$B$6:$F$1027,4,0)),"",VLOOKUP($C120,'START LİSTE'!$B$6:$F$1027,4,0))</f>
      </c>
      <c r="F120" s="108">
        <f>IF(ISERROR(VLOOKUP($C120,'FERDİ SONUÇ'!$B$6:$H$862,6,0)),"",VLOOKUP($C120,'FERDİ SONUÇ'!$B$6:$H$862,6,0))</f>
      </c>
      <c r="G120" s="16" t="str">
        <f>IF(OR(E120="",F120="DQ",F120="DNF",F120="DNS",F120=""),"-",VLOOKUP(C120,'FERDİ SONUÇ'!$B$6:$H$862,7,0))</f>
        <v>-</v>
      </c>
      <c r="H120" s="16" t="str">
        <f>IF(OR(E120="",E120="F",F120="DQ",F120="DNF",F120="DNS",F120=""),"-",VLOOKUP(C120,'FERDİ SONUÇ'!$B$6:$H$862,7,0))</f>
        <v>-</v>
      </c>
      <c r="I120" s="18" t="str">
        <f>IF(ISERROR(SMALL(H118:H121,3)),"-",SMALL(H118:H121,3))</f>
        <v>-</v>
      </c>
      <c r="J120" s="20">
        <f>IF(C118="","",IF(OR(I118="-",I119="-",I120="-"),"DQ",SUM(I118,I119,I120)))</f>
      </c>
      <c r="BA120" s="2">
        <v>1170</v>
      </c>
      <c r="BB120" s="51"/>
    </row>
    <row r="121" spans="1:54" ht="15" customHeight="1">
      <c r="A121" s="13"/>
      <c r="B121" s="14"/>
      <c r="C121" s="141"/>
      <c r="D121" s="15">
        <f>IF(ISERROR(VLOOKUP($C121,'START LİSTE'!$B$6:$F$1027,2,0)),"",VLOOKUP($C121,'START LİSTE'!$B$6:$F$1027,2,0))</f>
      </c>
      <c r="E121" s="16">
        <f>IF(ISERROR(VLOOKUP($C121,'START LİSTE'!$B$6:$F$1027,4,0)),"",VLOOKUP($C121,'START LİSTE'!$B$6:$F$1027,4,0))</f>
      </c>
      <c r="F121" s="108">
        <f>IF(ISERROR(VLOOKUP($C121,'FERDİ SONUÇ'!$B$6:$H$862,6,0)),"",VLOOKUP($C121,'FERDİ SONUÇ'!$B$6:$H$862,6,0))</f>
      </c>
      <c r="G121" s="16" t="str">
        <f>IF(OR(E121="",F121="DQ",F121="DNF",F121="DNS",F121=""),"-",VLOOKUP(C121,'FERDİ SONUÇ'!$B$6:$H$862,7,0))</f>
        <v>-</v>
      </c>
      <c r="H121" s="16" t="str">
        <f>IF(OR(E121="",E121="F",F121="DQ",F121="DNF",F121="DNS",F121=""),"-",VLOOKUP(C121,'FERDİ SONUÇ'!$B$6:$H$862,7,0))</f>
        <v>-</v>
      </c>
      <c r="I121" s="18" t="str">
        <f>IF(ISERROR(SMALL(H118:H121,4)),"-",SMALL(H118:H121,4))</f>
        <v>-</v>
      </c>
      <c r="J121" s="19"/>
      <c r="BA121" s="2">
        <v>1171</v>
      </c>
      <c r="BB121" s="52"/>
    </row>
    <row r="122" spans="1:54" ht="15" customHeight="1">
      <c r="A122" s="6"/>
      <c r="B122" s="7"/>
      <c r="C122" s="140"/>
      <c r="D122" s="8">
        <f>IF(ISERROR(VLOOKUP($C122,'START LİSTE'!$B$6:$F$1027,2,0)),"",VLOOKUP($C122,'START LİSTE'!$B$6:$F$1027,2,0))</f>
      </c>
      <c r="E122" s="9">
        <f>IF(ISERROR(VLOOKUP($C122,'START LİSTE'!$B$6:$F$1027,4,0)),"",VLOOKUP($C122,'START LİSTE'!$B$6:$F$1027,4,0))</f>
      </c>
      <c r="F122" s="107">
        <f>IF(ISERROR(VLOOKUP($C122,'FERDİ SONUÇ'!$B$6:$H$862,6,0)),"",VLOOKUP($C122,'FERDİ SONUÇ'!$B$6:$H$862,6,0))</f>
      </c>
      <c r="G122" s="9" t="str">
        <f>IF(OR(E122="",F122="DQ",F122="DNF",F122="DNS",F122=""),"-",VLOOKUP(C122,'FERDİ SONUÇ'!$B$6:$H$862,7,0))</f>
        <v>-</v>
      </c>
      <c r="H122" s="9" t="str">
        <f>IF(OR(E122="",E122="F",F122="DQ",F122="DNF",F122="DNS",F122=""),"-",VLOOKUP(C122,'FERDİ SONUÇ'!$B$6:$H$862,7,0))</f>
        <v>-</v>
      </c>
      <c r="I122" s="11" t="str">
        <f>IF(ISERROR(SMALL(H122:H125,1)),"-",SMALL(H122:H125,1))</f>
        <v>-</v>
      </c>
      <c r="J122" s="12"/>
      <c r="BA122" s="2">
        <v>1174</v>
      </c>
      <c r="BB122" s="50"/>
    </row>
    <row r="123" spans="1:54" ht="15" customHeight="1">
      <c r="A123" s="13"/>
      <c r="B123" s="14"/>
      <c r="C123" s="141"/>
      <c r="D123" s="15">
        <f>IF(ISERROR(VLOOKUP($C123,'START LİSTE'!$B$6:$F$1027,2,0)),"",VLOOKUP($C123,'START LİSTE'!$B$6:$F$1027,2,0))</f>
      </c>
      <c r="E123" s="16">
        <f>IF(ISERROR(VLOOKUP($C123,'START LİSTE'!$B$6:$F$1027,4,0)),"",VLOOKUP($C123,'START LİSTE'!$B$6:$F$1027,4,0))</f>
      </c>
      <c r="F123" s="108">
        <f>IF(ISERROR(VLOOKUP($C123,'FERDİ SONUÇ'!$B$6:$H$862,6,0)),"",VLOOKUP($C123,'FERDİ SONUÇ'!$B$6:$H$862,6,0))</f>
      </c>
      <c r="G123" s="16" t="str">
        <f>IF(OR(E123="",F123="DQ",F123="DNF",F123="DNS",F123=""),"-",VLOOKUP(C123,'FERDİ SONUÇ'!$B$6:$H$862,7,0))</f>
        <v>-</v>
      </c>
      <c r="H123" s="16" t="str">
        <f>IF(OR(E123="",E123="F",F123="DQ",F123="DNF",F123="DNS",F123=""),"-",VLOOKUP(C123,'FERDİ SONUÇ'!$B$6:$H$862,7,0))</f>
        <v>-</v>
      </c>
      <c r="I123" s="18" t="str">
        <f>IF(ISERROR(SMALL(H122:H125,2)),"-",SMALL(H122:H125,2))</f>
        <v>-</v>
      </c>
      <c r="J123" s="19"/>
      <c r="BA123" s="2">
        <v>1175</v>
      </c>
      <c r="BB123" s="51"/>
    </row>
    <row r="124" spans="1:54" ht="15" customHeight="1">
      <c r="A124" s="30">
        <f>IF(AND(B124&lt;&gt;"",J124&lt;&gt;"DQ"),COUNT(J$6:J$245)-(RANK(J124,J$6:J$245)+COUNTIF(J$6:J124,J124))+2,IF(C122&lt;&gt;"",BA124,""))</f>
      </c>
      <c r="B124" s="14">
        <f>IF(ISERROR(VLOOKUP(C122,'START LİSTE'!$B$6:$F$1027,3,0)),"",VLOOKUP(C122,'START LİSTE'!$B$6:$F$1027,3,0))</f>
      </c>
      <c r="C124" s="141"/>
      <c r="D124" s="15">
        <f>IF(ISERROR(VLOOKUP($C124,'START LİSTE'!$B$6:$F$1027,2,0)),"",VLOOKUP($C124,'START LİSTE'!$B$6:$F$1027,2,0))</f>
      </c>
      <c r="E124" s="16">
        <f>IF(ISERROR(VLOOKUP($C124,'START LİSTE'!$B$6:$F$1027,4,0)),"",VLOOKUP($C124,'START LİSTE'!$B$6:$F$1027,4,0))</f>
      </c>
      <c r="F124" s="108">
        <f>IF(ISERROR(VLOOKUP($C124,'FERDİ SONUÇ'!$B$6:$H$862,6,0)),"",VLOOKUP($C124,'FERDİ SONUÇ'!$B$6:$H$862,6,0))</f>
      </c>
      <c r="G124" s="16" t="str">
        <f>IF(OR(E124="",F124="DQ",F124="DNF",F124="DNS",F124=""),"-",VLOOKUP(C124,'FERDİ SONUÇ'!$B$6:$H$862,7,0))</f>
        <v>-</v>
      </c>
      <c r="H124" s="16" t="str">
        <f>IF(OR(E124="",E124="F",F124="DQ",F124="DNF",F124="DNS",F124=""),"-",VLOOKUP(C124,'FERDİ SONUÇ'!$B$6:$H$862,7,0))</f>
        <v>-</v>
      </c>
      <c r="I124" s="18" t="str">
        <f>IF(ISERROR(SMALL(H122:H125,3)),"-",SMALL(H122:H125,3))</f>
        <v>-</v>
      </c>
      <c r="J124" s="20">
        <f>IF(C122="","",IF(OR(I122="-",I123="-",I124="-"),"DQ",SUM(I122,I123,I124)))</f>
      </c>
      <c r="BA124" s="2">
        <v>1176</v>
      </c>
      <c r="BB124" s="51"/>
    </row>
    <row r="125" spans="1:54" ht="15" customHeight="1">
      <c r="A125" s="22"/>
      <c r="B125" s="23"/>
      <c r="C125" s="141"/>
      <c r="D125" s="24">
        <f>IF(ISERROR(VLOOKUP($C125,'START LİSTE'!$B$6:$F$1027,2,0)),"",VLOOKUP($C125,'START LİSTE'!$B$6:$F$1027,2,0))</f>
      </c>
      <c r="E125" s="25">
        <f>IF(ISERROR(VLOOKUP($C125,'START LİSTE'!$B$6:$F$1027,4,0)),"",VLOOKUP($C125,'START LİSTE'!$B$6:$F$1027,4,0))</f>
      </c>
      <c r="F125" s="109">
        <f>IF(ISERROR(VLOOKUP($C125,'FERDİ SONUÇ'!$B$6:$H$862,6,0)),"",VLOOKUP($C125,'FERDİ SONUÇ'!$B$6:$H$862,6,0))</f>
      </c>
      <c r="G125" s="25" t="str">
        <f>IF(OR(E125="",F125="DQ",F125="DNF",F125="DNS",F125=""),"-",VLOOKUP(C125,'FERDİ SONUÇ'!$B$6:$H$862,7,0))</f>
        <v>-</v>
      </c>
      <c r="H125" s="25" t="str">
        <f>IF(OR(E125="",E125="F",F125="DQ",F125="DNF",F125="DNS",F125=""),"-",VLOOKUP(C125,'FERDİ SONUÇ'!$B$6:$H$862,7,0))</f>
        <v>-</v>
      </c>
      <c r="I125" s="26" t="str">
        <f>IF(ISERROR(SMALL(H122:H125,4)),"-",SMALL(H122:H125,4))</f>
        <v>-</v>
      </c>
      <c r="J125" s="27"/>
      <c r="BA125" s="2">
        <v>1177</v>
      </c>
      <c r="BB125" s="52"/>
    </row>
    <row r="126" spans="1:54" s="1" customFormat="1" ht="15" customHeight="1">
      <c r="A126" s="6"/>
      <c r="B126" s="7"/>
      <c r="C126" s="140"/>
      <c r="D126" s="8">
        <f>IF(ISERROR(VLOOKUP($C126,'START LİSTE'!$B$6:$F$1027,2,0)),"",VLOOKUP($C126,'START LİSTE'!$B$6:$F$1027,2,0))</f>
      </c>
      <c r="E126" s="9">
        <f>IF(ISERROR(VLOOKUP($C126,'START LİSTE'!$B$6:$F$1027,4,0)),"",VLOOKUP($C126,'START LİSTE'!$B$6:$F$1027,4,0))</f>
      </c>
      <c r="F126" s="107">
        <f>IF(ISERROR(VLOOKUP($C126,'FERDİ SONUÇ'!$B$6:$H$862,6,0)),"",VLOOKUP($C126,'FERDİ SONUÇ'!$B$6:$H$862,6,0))</f>
      </c>
      <c r="G126" s="10" t="str">
        <f>IF(OR(E126="",F126="DQ",F126="DNF",F126="DNS",F126=""),"-",VLOOKUP(C126,'FERDİ SONUÇ'!$B$6:$H$862,7,0))</f>
        <v>-</v>
      </c>
      <c r="H126" s="10" t="str">
        <f>IF(OR(E126="",E126="F",F126="DQ",F126="DNF",F126="DNS",F126=""),"-",VLOOKUP(C126,'FERDİ SONUÇ'!$B$6:$H$862,7,0))</f>
        <v>-</v>
      </c>
      <c r="I126" s="11" t="str">
        <f>IF(ISERROR(SMALL(H126:H129,1)),"-",SMALL(H126:H129,1))</f>
        <v>-</v>
      </c>
      <c r="J126" s="12"/>
      <c r="K126" s="3"/>
      <c r="BA126" s="2">
        <v>1180</v>
      </c>
      <c r="BB126" s="50"/>
    </row>
    <row r="127" spans="1:54" s="1" customFormat="1" ht="15" customHeight="1">
      <c r="A127" s="13"/>
      <c r="B127" s="14"/>
      <c r="C127" s="141"/>
      <c r="D127" s="15">
        <f>IF(ISERROR(VLOOKUP($C127,'START LİSTE'!$B$6:$F$1027,2,0)),"",VLOOKUP($C127,'START LİSTE'!$B$6:$F$1027,2,0))</f>
      </c>
      <c r="E127" s="16">
        <f>IF(ISERROR(VLOOKUP($C127,'START LİSTE'!$B$6:$F$1027,4,0)),"",VLOOKUP($C127,'START LİSTE'!$B$6:$F$1027,4,0))</f>
      </c>
      <c r="F127" s="108">
        <f>IF(ISERROR(VLOOKUP($C127,'FERDİ SONUÇ'!$B$6:$H$862,6,0)),"",VLOOKUP($C127,'FERDİ SONUÇ'!$B$6:$H$862,6,0))</f>
      </c>
      <c r="G127" s="17" t="str">
        <f>IF(OR(E127="",F127="DQ",F127="DNF",F127="DNS",F127=""),"-",VLOOKUP(C127,'FERDİ SONUÇ'!$B$6:$H$862,7,0))</f>
        <v>-</v>
      </c>
      <c r="H127" s="17" t="str">
        <f>IF(OR(E127="",E127="F",F127="DQ",F127="DNF",F127="DNS",F127=""),"-",VLOOKUP(C127,'FERDİ SONUÇ'!$B$6:$H$862,7,0))</f>
        <v>-</v>
      </c>
      <c r="I127" s="18" t="str">
        <f>IF(ISERROR(SMALL(H126:H129,2)),"-",SMALL(H126:H129,2))</f>
        <v>-</v>
      </c>
      <c r="J127" s="19"/>
      <c r="K127" s="3"/>
      <c r="BA127" s="2">
        <v>1181</v>
      </c>
      <c r="BB127" s="51"/>
    </row>
    <row r="128" spans="1:54" s="1" customFormat="1" ht="15" customHeight="1">
      <c r="A128" s="30">
        <f>IF(AND(B128&lt;&gt;"",J128&lt;&gt;"DQ"),COUNT(J$6:J$245)-(RANK(J128,J$6:J$245)+COUNTIF(J$6:J128,J128))+2,IF(C126&lt;&gt;"",BA128,""))</f>
      </c>
      <c r="B128" s="14">
        <f>IF(ISERROR(VLOOKUP(C126,'START LİSTE'!$B$6:$F$1027,3,0)),"",VLOOKUP(C126,'START LİSTE'!$B$6:$F$1027,3,0))</f>
      </c>
      <c r="C128" s="141"/>
      <c r="D128" s="15">
        <f>IF(ISERROR(VLOOKUP($C128,'START LİSTE'!$B$6:$F$1027,2,0)),"",VLOOKUP($C128,'START LİSTE'!$B$6:$F$1027,2,0))</f>
      </c>
      <c r="E128" s="16">
        <f>IF(ISERROR(VLOOKUP($C128,'START LİSTE'!$B$6:$F$1027,4,0)),"",VLOOKUP($C128,'START LİSTE'!$B$6:$F$1027,4,0))</f>
      </c>
      <c r="F128" s="108">
        <f>IF(ISERROR(VLOOKUP($C128,'FERDİ SONUÇ'!$B$6:$H$862,6,0)),"",VLOOKUP($C128,'FERDİ SONUÇ'!$B$6:$H$862,6,0))</f>
      </c>
      <c r="G128" s="17" t="str">
        <f>IF(OR(E128="",F128="DQ",F128="DNF",F128="DNS",F128=""),"-",VLOOKUP(C128,'FERDİ SONUÇ'!$B$6:$H$862,7,0))</f>
        <v>-</v>
      </c>
      <c r="H128" s="17" t="str">
        <f>IF(OR(E128="",E128="F",F128="DQ",F128="DNF",F128="DNS",F128=""),"-",VLOOKUP(C128,'FERDİ SONUÇ'!$B$6:$H$862,7,0))</f>
        <v>-</v>
      </c>
      <c r="I128" s="18" t="str">
        <f>IF(ISERROR(SMALL(H126:H129,3)),"-",SMALL(H126:H129,3))</f>
        <v>-</v>
      </c>
      <c r="J128" s="20">
        <f>IF(C126="","",IF(OR(I126="-",I127="-",I128="-"),"DQ",SUM(I126,I127,I128)))</f>
      </c>
      <c r="K128" s="3"/>
      <c r="BA128" s="2">
        <v>1182</v>
      </c>
      <c r="BB128" s="51"/>
    </row>
    <row r="129" spans="1:54" s="1" customFormat="1" ht="15" customHeight="1">
      <c r="A129" s="13"/>
      <c r="B129" s="14"/>
      <c r="C129" s="141"/>
      <c r="D129" s="15">
        <f>IF(ISERROR(VLOOKUP($C129,'START LİSTE'!$B$6:$F$1027,2,0)),"",VLOOKUP($C129,'START LİSTE'!$B$6:$F$1027,2,0))</f>
      </c>
      <c r="E129" s="16">
        <f>IF(ISERROR(VLOOKUP($C129,'START LİSTE'!$B$6:$F$1027,4,0)),"",VLOOKUP($C129,'START LİSTE'!$B$6:$F$1027,4,0))</f>
      </c>
      <c r="F129" s="108">
        <f>IF(ISERROR(VLOOKUP($C129,'FERDİ SONUÇ'!$B$6:$H$862,6,0)),"",VLOOKUP($C129,'FERDİ SONUÇ'!$B$6:$H$862,6,0))</f>
      </c>
      <c r="G129" s="17" t="str">
        <f>IF(OR(E129="",F129="DQ",F129="DNF",F129="DNS",F129=""),"-",VLOOKUP(C129,'FERDİ SONUÇ'!$B$6:$H$862,7,0))</f>
        <v>-</v>
      </c>
      <c r="H129" s="17" t="str">
        <f>IF(OR(E129="",E129="F",F129="DQ",F129="DNF",F129="DNS",F129=""),"-",VLOOKUP(C129,'FERDİ SONUÇ'!$B$6:$H$862,7,0))</f>
        <v>-</v>
      </c>
      <c r="I129" s="18" t="str">
        <f>IF(ISERROR(SMALL(H126:H129,4)),"-",SMALL(H126:H129,4))</f>
        <v>-</v>
      </c>
      <c r="J129" s="19"/>
      <c r="K129" s="3"/>
      <c r="BA129" s="2">
        <v>1183</v>
      </c>
      <c r="BB129" s="52"/>
    </row>
    <row r="130" spans="1:54" ht="15" customHeight="1">
      <c r="A130" s="6"/>
      <c r="B130" s="7"/>
      <c r="C130" s="140"/>
      <c r="D130" s="8">
        <f>IF(ISERROR(VLOOKUP($C130,'START LİSTE'!$B$6:$F$1027,2,0)),"",VLOOKUP($C130,'START LİSTE'!$B$6:$F$1027,2,0))</f>
      </c>
      <c r="E130" s="9">
        <f>IF(ISERROR(VLOOKUP($C130,'START LİSTE'!$B$6:$F$1027,4,0)),"",VLOOKUP($C130,'START LİSTE'!$B$6:$F$1027,4,0))</f>
      </c>
      <c r="F130" s="107">
        <f>IF(ISERROR(VLOOKUP($C130,'FERDİ SONUÇ'!$B$6:$H$862,6,0)),"",VLOOKUP($C130,'FERDİ SONUÇ'!$B$6:$H$862,6,0))</f>
      </c>
      <c r="G130" s="10" t="str">
        <f>IF(OR(E130="",F130="DQ",F130="DNF",F130="DNS",F130=""),"-",VLOOKUP(C130,'FERDİ SONUÇ'!$B$6:$H$862,7,0))</f>
        <v>-</v>
      </c>
      <c r="H130" s="10" t="str">
        <f>IF(OR(E130="",E130="F",F130="DQ",F130="DNF",F130="DNS",F130=""),"-",VLOOKUP(C130,'FERDİ SONUÇ'!$B$6:$H$862,7,0))</f>
        <v>-</v>
      </c>
      <c r="I130" s="11" t="str">
        <f>IF(ISERROR(SMALL(H130:H133,1)),"-",SMALL(H130:H133,1))</f>
        <v>-</v>
      </c>
      <c r="J130" s="12"/>
      <c r="BA130" s="2">
        <v>1186</v>
      </c>
      <c r="BB130" s="50"/>
    </row>
    <row r="131" spans="1:54" ht="15" customHeight="1">
      <c r="A131" s="13"/>
      <c r="B131" s="14"/>
      <c r="C131" s="141"/>
      <c r="D131" s="15">
        <f>IF(ISERROR(VLOOKUP($C131,'START LİSTE'!$B$6:$F$1027,2,0)),"",VLOOKUP($C131,'START LİSTE'!$B$6:$F$1027,2,0))</f>
      </c>
      <c r="E131" s="16">
        <f>IF(ISERROR(VLOOKUP($C131,'START LİSTE'!$B$6:$F$1027,4,0)),"",VLOOKUP($C131,'START LİSTE'!$B$6:$F$1027,4,0))</f>
      </c>
      <c r="F131" s="108">
        <f>IF(ISERROR(VLOOKUP($C131,'FERDİ SONUÇ'!$B$6:$H$862,6,0)),"",VLOOKUP($C131,'FERDİ SONUÇ'!$B$6:$H$862,6,0))</f>
      </c>
      <c r="G131" s="17" t="str">
        <f>IF(OR(E131="",F131="DQ",F131="DNF",F131="DNS",F131=""),"-",VLOOKUP(C131,'FERDİ SONUÇ'!$B$6:$H$862,7,0))</f>
        <v>-</v>
      </c>
      <c r="H131" s="17" t="str">
        <f>IF(OR(E131="",E131="F",F131="DQ",F131="DNF",F131="DNS",F131=""),"-",VLOOKUP(C131,'FERDİ SONUÇ'!$B$6:$H$862,7,0))</f>
        <v>-</v>
      </c>
      <c r="I131" s="18" t="str">
        <f>IF(ISERROR(SMALL(H130:H133,2)),"-",SMALL(H130:H133,2))</f>
        <v>-</v>
      </c>
      <c r="J131" s="19"/>
      <c r="BA131" s="2">
        <v>1187</v>
      </c>
      <c r="BB131" s="51"/>
    </row>
    <row r="132" spans="1:54" ht="15" customHeight="1">
      <c r="A132" s="30">
        <f>IF(AND(B132&lt;&gt;"",J132&lt;&gt;"DQ"),COUNT(J$6:J$245)-(RANK(J132,J$6:J$245)+COUNTIF(J$6:J132,J132))+2,IF(C130&lt;&gt;"",BA132,""))</f>
      </c>
      <c r="B132" s="14">
        <f>IF(ISERROR(VLOOKUP(C130,'START LİSTE'!$B$6:$F$1027,3,0)),"",VLOOKUP(C130,'START LİSTE'!$B$6:$F$1027,3,0))</f>
      </c>
      <c r="C132" s="141"/>
      <c r="D132" s="15">
        <f>IF(ISERROR(VLOOKUP($C132,'START LİSTE'!$B$6:$F$1027,2,0)),"",VLOOKUP($C132,'START LİSTE'!$B$6:$F$1027,2,0))</f>
      </c>
      <c r="E132" s="16">
        <f>IF(ISERROR(VLOOKUP($C132,'START LİSTE'!$B$6:$F$1027,4,0)),"",VLOOKUP($C132,'START LİSTE'!$B$6:$F$1027,4,0))</f>
      </c>
      <c r="F132" s="108">
        <f>IF(ISERROR(VLOOKUP($C132,'FERDİ SONUÇ'!$B$6:$H$862,6,0)),"",VLOOKUP($C132,'FERDİ SONUÇ'!$B$6:$H$862,6,0))</f>
      </c>
      <c r="G132" s="17" t="str">
        <f>IF(OR(E132="",F132="DQ",F132="DNF",F132="DNS",F132=""),"-",VLOOKUP(C132,'FERDİ SONUÇ'!$B$6:$H$862,7,0))</f>
        <v>-</v>
      </c>
      <c r="H132" s="17" t="str">
        <f>IF(OR(E132="",E132="F",F132="DQ",F132="DNF",F132="DNS",F132=""),"-",VLOOKUP(C132,'FERDİ SONUÇ'!$B$6:$H$862,7,0))</f>
        <v>-</v>
      </c>
      <c r="I132" s="18" t="str">
        <f>IF(ISERROR(SMALL(H130:H133,3)),"-",SMALL(H130:H133,3))</f>
        <v>-</v>
      </c>
      <c r="J132" s="20">
        <f>IF(C130="","",IF(OR(I130="-",I131="-",I132="-"),"DQ",SUM(I130,I131,I132)))</f>
      </c>
      <c r="BA132" s="2">
        <v>1188</v>
      </c>
      <c r="BB132" s="51"/>
    </row>
    <row r="133" spans="1:54" ht="15" customHeight="1">
      <c r="A133" s="13"/>
      <c r="B133" s="14"/>
      <c r="C133" s="141"/>
      <c r="D133" s="15">
        <f>IF(ISERROR(VLOOKUP($C133,'START LİSTE'!$B$6:$F$1027,2,0)),"",VLOOKUP($C133,'START LİSTE'!$B$6:$F$1027,2,0))</f>
      </c>
      <c r="E133" s="16">
        <f>IF(ISERROR(VLOOKUP($C133,'START LİSTE'!$B$6:$F$1027,4,0)),"",VLOOKUP($C133,'START LİSTE'!$B$6:$F$1027,4,0))</f>
      </c>
      <c r="F133" s="108">
        <f>IF(ISERROR(VLOOKUP($C133,'FERDİ SONUÇ'!$B$6:$H$862,6,0)),"",VLOOKUP($C133,'FERDİ SONUÇ'!$B$6:$H$862,6,0))</f>
      </c>
      <c r="G133" s="17" t="str">
        <f>IF(OR(E133="",F133="DQ",F133="DNF",F133="DNS",F133=""),"-",VLOOKUP(C133,'FERDİ SONUÇ'!$B$6:$H$862,7,0))</f>
        <v>-</v>
      </c>
      <c r="H133" s="17" t="str">
        <f>IF(OR(E133="",E133="F",F133="DQ",F133="DNF",F133="DNS",F133=""),"-",VLOOKUP(C133,'FERDİ SONUÇ'!$B$6:$H$862,7,0))</f>
        <v>-</v>
      </c>
      <c r="I133" s="18" t="str">
        <f>IF(ISERROR(SMALL(H130:H133,4)),"-",SMALL(H130:H133,4))</f>
        <v>-</v>
      </c>
      <c r="J133" s="19"/>
      <c r="BA133" s="2">
        <v>1189</v>
      </c>
      <c r="BB133" s="52"/>
    </row>
    <row r="134" spans="1:54" ht="15" customHeight="1">
      <c r="A134" s="6"/>
      <c r="B134" s="7"/>
      <c r="C134" s="140"/>
      <c r="D134" s="8">
        <f>IF(ISERROR(VLOOKUP($C134,'START LİSTE'!$B$6:$F$1027,2,0)),"",VLOOKUP($C134,'START LİSTE'!$B$6:$F$1027,2,0))</f>
      </c>
      <c r="E134" s="9">
        <f>IF(ISERROR(VLOOKUP($C134,'START LİSTE'!$B$6:$F$1027,4,0)),"",VLOOKUP($C134,'START LİSTE'!$B$6:$F$1027,4,0))</f>
      </c>
      <c r="F134" s="107">
        <f>IF(ISERROR(VLOOKUP($C134,'FERDİ SONUÇ'!$B$6:$H$862,6,0)),"",VLOOKUP($C134,'FERDİ SONUÇ'!$B$6:$H$862,6,0))</f>
      </c>
      <c r="G134" s="10" t="str">
        <f>IF(OR(E134="",F134="DQ",F134="DNF",F134="DNS",F134=""),"-",VLOOKUP(C134,'FERDİ SONUÇ'!$B$6:$H$862,7,0))</f>
        <v>-</v>
      </c>
      <c r="H134" s="10" t="str">
        <f>IF(OR(E134="",E134="F",F134="DQ",F134="DNF",F134="DNS",F134=""),"-",VLOOKUP(C134,'FERDİ SONUÇ'!$B$6:$H$862,7,0))</f>
        <v>-</v>
      </c>
      <c r="I134" s="11" t="str">
        <f>IF(ISERROR(SMALL(H134:H137,1)),"-",SMALL(H134:H137,1))</f>
        <v>-</v>
      </c>
      <c r="J134" s="12"/>
      <c r="BA134" s="2">
        <v>1192</v>
      </c>
      <c r="BB134" s="50"/>
    </row>
    <row r="135" spans="1:54" ht="15" customHeight="1">
      <c r="A135" s="13"/>
      <c r="B135" s="14"/>
      <c r="C135" s="141"/>
      <c r="D135" s="15">
        <f>IF(ISERROR(VLOOKUP($C135,'START LİSTE'!$B$6:$F$1027,2,0)),"",VLOOKUP($C135,'START LİSTE'!$B$6:$F$1027,2,0))</f>
      </c>
      <c r="E135" s="16">
        <f>IF(ISERROR(VLOOKUP($C135,'START LİSTE'!$B$6:$F$1027,4,0)),"",VLOOKUP($C135,'START LİSTE'!$B$6:$F$1027,4,0))</f>
      </c>
      <c r="F135" s="108">
        <f>IF(ISERROR(VLOOKUP($C135,'FERDİ SONUÇ'!$B$6:$H$862,6,0)),"",VLOOKUP($C135,'FERDİ SONUÇ'!$B$6:$H$862,6,0))</f>
      </c>
      <c r="G135" s="17" t="str">
        <f>IF(OR(E135="",F135="DQ",F135="DNF",F135="DNS",F135=""),"-",VLOOKUP(C135,'FERDİ SONUÇ'!$B$6:$H$862,7,0))</f>
        <v>-</v>
      </c>
      <c r="H135" s="17" t="str">
        <f>IF(OR(E135="",E135="F",F135="DQ",F135="DNF",F135="DNS",F135=""),"-",VLOOKUP(C135,'FERDİ SONUÇ'!$B$6:$H$862,7,0))</f>
        <v>-</v>
      </c>
      <c r="I135" s="18" t="str">
        <f>IF(ISERROR(SMALL(H134:H137,2)),"-",SMALL(H134:H137,2))</f>
        <v>-</v>
      </c>
      <c r="J135" s="19"/>
      <c r="BA135" s="2">
        <v>1193</v>
      </c>
      <c r="BB135" s="51"/>
    </row>
    <row r="136" spans="1:54" ht="15" customHeight="1">
      <c r="A136" s="30">
        <f>IF(AND(B136&lt;&gt;"",J136&lt;&gt;"DQ"),COUNT(J$6:J$245)-(RANK(J136,J$6:J$245)+COUNTIF(J$6:J136,J136))+2,IF(C134&lt;&gt;"",BA136,""))</f>
      </c>
      <c r="B136" s="14">
        <f>IF(ISERROR(VLOOKUP(C134,'START LİSTE'!$B$6:$F$1027,3,0)),"",VLOOKUP(C134,'START LİSTE'!$B$6:$F$1027,3,0))</f>
      </c>
      <c r="C136" s="141"/>
      <c r="D136" s="15">
        <f>IF(ISERROR(VLOOKUP($C136,'START LİSTE'!$B$6:$F$1027,2,0)),"",VLOOKUP($C136,'START LİSTE'!$B$6:$F$1027,2,0))</f>
      </c>
      <c r="E136" s="16">
        <f>IF(ISERROR(VLOOKUP($C136,'START LİSTE'!$B$6:$F$1027,4,0)),"",VLOOKUP($C136,'START LİSTE'!$B$6:$F$1027,4,0))</f>
      </c>
      <c r="F136" s="108">
        <f>IF(ISERROR(VLOOKUP($C136,'FERDİ SONUÇ'!$B$6:$H$862,6,0)),"",VLOOKUP($C136,'FERDİ SONUÇ'!$B$6:$H$862,6,0))</f>
      </c>
      <c r="G136" s="17" t="str">
        <f>IF(OR(E136="",F136="DQ",F136="DNF",F136="DNS",F136=""),"-",VLOOKUP(C136,'FERDİ SONUÇ'!$B$6:$H$862,7,0))</f>
        <v>-</v>
      </c>
      <c r="H136" s="17" t="str">
        <f>IF(OR(E136="",E136="F",F136="DQ",F136="DNF",F136="DNS",F136=""),"-",VLOOKUP(C136,'FERDİ SONUÇ'!$B$6:$H$862,7,0))</f>
        <v>-</v>
      </c>
      <c r="I136" s="18" t="str">
        <f>IF(ISERROR(SMALL(H134:H137,3)),"-",SMALL(H134:H137,3))</f>
        <v>-</v>
      </c>
      <c r="J136" s="20">
        <f>IF(C134="","",IF(OR(I134="-",I135="-",I136="-"),"DQ",SUM(I134,I135,I136)))</f>
      </c>
      <c r="BA136" s="2">
        <v>1194</v>
      </c>
      <c r="BB136" s="51"/>
    </row>
    <row r="137" spans="1:54" ht="15" customHeight="1">
      <c r="A137" s="13"/>
      <c r="B137" s="14"/>
      <c r="C137" s="141"/>
      <c r="D137" s="15">
        <f>IF(ISERROR(VLOOKUP($C137,'START LİSTE'!$B$6:$F$1027,2,0)),"",VLOOKUP($C137,'START LİSTE'!$B$6:$F$1027,2,0))</f>
      </c>
      <c r="E137" s="16">
        <f>IF(ISERROR(VLOOKUP($C137,'START LİSTE'!$B$6:$F$1027,4,0)),"",VLOOKUP($C137,'START LİSTE'!$B$6:$F$1027,4,0))</f>
      </c>
      <c r="F137" s="108">
        <f>IF(ISERROR(VLOOKUP($C137,'FERDİ SONUÇ'!$B$6:$H$862,6,0)),"",VLOOKUP($C137,'FERDİ SONUÇ'!$B$6:$H$862,6,0))</f>
      </c>
      <c r="G137" s="17" t="str">
        <f>IF(OR(E137="",F137="DQ",F137="DNF",F137="DNS",F137=""),"-",VLOOKUP(C137,'FERDİ SONUÇ'!$B$6:$H$862,7,0))</f>
        <v>-</v>
      </c>
      <c r="H137" s="17" t="str">
        <f>IF(OR(E137="",E137="F",F137="DQ",F137="DNF",F137="DNS",F137=""),"-",VLOOKUP(C137,'FERDİ SONUÇ'!$B$6:$H$862,7,0))</f>
        <v>-</v>
      </c>
      <c r="I137" s="18" t="str">
        <f>IF(ISERROR(SMALL(H134:H137,4)),"-",SMALL(H134:H137,4))</f>
        <v>-</v>
      </c>
      <c r="J137" s="19"/>
      <c r="BA137" s="2">
        <v>1195</v>
      </c>
      <c r="BB137" s="52"/>
    </row>
    <row r="138" spans="1:54" ht="15" customHeight="1">
      <c r="A138" s="6"/>
      <c r="B138" s="7"/>
      <c r="C138" s="140"/>
      <c r="D138" s="8">
        <f>IF(ISERROR(VLOOKUP($C138,'START LİSTE'!$B$6:$F$1027,2,0)),"",VLOOKUP($C138,'START LİSTE'!$B$6:$F$1027,2,0))</f>
      </c>
      <c r="E138" s="9">
        <f>IF(ISERROR(VLOOKUP($C138,'START LİSTE'!$B$6:$F$1027,4,0)),"",VLOOKUP($C138,'START LİSTE'!$B$6:$F$1027,4,0))</f>
      </c>
      <c r="F138" s="107">
        <f>IF(ISERROR(VLOOKUP($C138,'FERDİ SONUÇ'!$B$6:$H$862,6,0)),"",VLOOKUP($C138,'FERDİ SONUÇ'!$B$6:$H$862,6,0))</f>
      </c>
      <c r="G138" s="9" t="str">
        <f>IF(OR(E138="",F138="DQ",F138="DNF",F138="DNS",F138=""),"-",VLOOKUP(C138,'FERDİ SONUÇ'!$B$6:$H$862,7,0))</f>
        <v>-</v>
      </c>
      <c r="H138" s="9" t="str">
        <f>IF(OR(E138="",E138="F",F138="DQ",F138="DNF",F138="DNS",F138=""),"-",VLOOKUP(C138,'FERDİ SONUÇ'!$B$6:$H$862,7,0))</f>
        <v>-</v>
      </c>
      <c r="I138" s="11" t="str">
        <f>IF(ISERROR(SMALL(H138:H141,1)),"-",SMALL(H138:H141,1))</f>
        <v>-</v>
      </c>
      <c r="J138" s="12"/>
      <c r="BA138" s="2">
        <v>1198</v>
      </c>
      <c r="BB138" s="50"/>
    </row>
    <row r="139" spans="1:54" ht="15" customHeight="1">
      <c r="A139" s="13"/>
      <c r="B139" s="14"/>
      <c r="C139" s="141"/>
      <c r="D139" s="15">
        <f>IF(ISERROR(VLOOKUP($C139,'START LİSTE'!$B$6:$F$1027,2,0)),"",VLOOKUP($C139,'START LİSTE'!$B$6:$F$1027,2,0))</f>
      </c>
      <c r="E139" s="16">
        <f>IF(ISERROR(VLOOKUP($C139,'START LİSTE'!$B$6:$F$1027,4,0)),"",VLOOKUP($C139,'START LİSTE'!$B$6:$F$1027,4,0))</f>
      </c>
      <c r="F139" s="108">
        <f>IF(ISERROR(VLOOKUP($C139,'FERDİ SONUÇ'!$B$6:$H$862,6,0)),"",VLOOKUP($C139,'FERDİ SONUÇ'!$B$6:$H$862,6,0))</f>
      </c>
      <c r="G139" s="16" t="str">
        <f>IF(OR(E139="",F139="DQ",F139="DNF",F139="DNS",F139=""),"-",VLOOKUP(C139,'FERDİ SONUÇ'!$B$6:$H$862,7,0))</f>
        <v>-</v>
      </c>
      <c r="H139" s="16" t="str">
        <f>IF(OR(E139="",E139="F",F139="DQ",F139="DNF",F139="DNS",F139=""),"-",VLOOKUP(C139,'FERDİ SONUÇ'!$B$6:$H$862,7,0))</f>
        <v>-</v>
      </c>
      <c r="I139" s="18" t="str">
        <f>IF(ISERROR(SMALL(H138:H141,2)),"-",SMALL(H138:H141,2))</f>
        <v>-</v>
      </c>
      <c r="J139" s="19"/>
      <c r="BA139" s="2">
        <v>1199</v>
      </c>
      <c r="BB139" s="51"/>
    </row>
    <row r="140" spans="1:54" ht="15" customHeight="1">
      <c r="A140" s="30">
        <f>IF(AND(B140&lt;&gt;"",J140&lt;&gt;"DQ"),COUNT(J$6:J$245)-(RANK(J140,J$6:J$245)+COUNTIF(J$6:J140,J140))+2,IF(C138&lt;&gt;"",BA140,""))</f>
      </c>
      <c r="B140" s="14">
        <f>IF(ISERROR(VLOOKUP(C138,'START LİSTE'!$B$6:$F$1027,3,0)),"",VLOOKUP(C138,'START LİSTE'!$B$6:$F$1027,3,0))</f>
      </c>
      <c r="C140" s="141"/>
      <c r="D140" s="15">
        <f>IF(ISERROR(VLOOKUP($C140,'START LİSTE'!$B$6:$F$1027,2,0)),"",VLOOKUP($C140,'START LİSTE'!$B$6:$F$1027,2,0))</f>
      </c>
      <c r="E140" s="16">
        <f>IF(ISERROR(VLOOKUP($C140,'START LİSTE'!$B$6:$F$1027,4,0)),"",VLOOKUP($C140,'START LİSTE'!$B$6:$F$1027,4,0))</f>
      </c>
      <c r="F140" s="108">
        <f>IF(ISERROR(VLOOKUP($C140,'FERDİ SONUÇ'!$B$6:$H$862,6,0)),"",VLOOKUP($C140,'FERDİ SONUÇ'!$B$6:$H$862,6,0))</f>
      </c>
      <c r="G140" s="16" t="str">
        <f>IF(OR(E140="",F140="DQ",F140="DNF",F140="DNS",F140=""),"-",VLOOKUP(C140,'FERDİ SONUÇ'!$B$6:$H$862,7,0))</f>
        <v>-</v>
      </c>
      <c r="H140" s="16" t="str">
        <f>IF(OR(E140="",E140="F",F140="DQ",F140="DNF",F140="DNS",F140=""),"-",VLOOKUP(C140,'FERDİ SONUÇ'!$B$6:$H$862,7,0))</f>
        <v>-</v>
      </c>
      <c r="I140" s="18" t="str">
        <f>IF(ISERROR(SMALL(H138:H141,3)),"-",SMALL(H138:H141,3))</f>
        <v>-</v>
      </c>
      <c r="J140" s="20">
        <f>IF(C138="","",IF(OR(I138="-",I139="-",I140="-"),"DQ",SUM(I138,I139,I140)))</f>
      </c>
      <c r="BA140" s="2">
        <v>1200</v>
      </c>
      <c r="BB140" s="51"/>
    </row>
    <row r="141" spans="1:54" ht="15" customHeight="1">
      <c r="A141" s="13"/>
      <c r="B141" s="14"/>
      <c r="C141" s="141"/>
      <c r="D141" s="15">
        <f>IF(ISERROR(VLOOKUP($C141,'START LİSTE'!$B$6:$F$1027,2,0)),"",VLOOKUP($C141,'START LİSTE'!$B$6:$F$1027,2,0))</f>
      </c>
      <c r="E141" s="16">
        <f>IF(ISERROR(VLOOKUP($C141,'START LİSTE'!$B$6:$F$1027,4,0)),"",VLOOKUP($C141,'START LİSTE'!$B$6:$F$1027,4,0))</f>
      </c>
      <c r="F141" s="108">
        <f>IF(ISERROR(VLOOKUP($C141,'FERDİ SONUÇ'!$B$6:$H$862,6,0)),"",VLOOKUP($C141,'FERDİ SONUÇ'!$B$6:$H$862,6,0))</f>
      </c>
      <c r="G141" s="16" t="str">
        <f>IF(OR(E141="",F141="DQ",F141="DNF",F141="DNS",F141=""),"-",VLOOKUP(C141,'FERDİ SONUÇ'!$B$6:$H$862,7,0))</f>
        <v>-</v>
      </c>
      <c r="H141" s="16" t="str">
        <f>IF(OR(E141="",E141="F",F141="DQ",F141="DNF",F141="DNS",F141=""),"-",VLOOKUP(C141,'FERDİ SONUÇ'!$B$6:$H$862,7,0))</f>
        <v>-</v>
      </c>
      <c r="I141" s="18" t="str">
        <f>IF(ISERROR(SMALL(H138:H141,4)),"-",SMALL(H138:H141,4))</f>
        <v>-</v>
      </c>
      <c r="J141" s="19"/>
      <c r="BA141" s="2">
        <v>1201</v>
      </c>
      <c r="BB141" s="52"/>
    </row>
    <row r="142" spans="1:54" ht="15" customHeight="1">
      <c r="A142" s="6"/>
      <c r="B142" s="7"/>
      <c r="C142" s="140"/>
      <c r="D142" s="8">
        <f>IF(ISERROR(VLOOKUP($C142,'START LİSTE'!$B$6:$F$1027,2,0)),"",VLOOKUP($C142,'START LİSTE'!$B$6:$F$1027,2,0))</f>
      </c>
      <c r="E142" s="9">
        <f>IF(ISERROR(VLOOKUP($C142,'START LİSTE'!$B$6:$F$1027,4,0)),"",VLOOKUP($C142,'START LİSTE'!$B$6:$F$1027,4,0))</f>
      </c>
      <c r="F142" s="107">
        <f>IF(ISERROR(VLOOKUP($C142,'FERDİ SONUÇ'!$B$6:$H$862,6,0)),"",VLOOKUP($C142,'FERDİ SONUÇ'!$B$6:$H$862,6,0))</f>
      </c>
      <c r="G142" s="9" t="str">
        <f>IF(OR(E142="",F142="DQ",F142="DNF",F142="DNS",F142=""),"-",VLOOKUP(C142,'FERDİ SONUÇ'!$B$6:$H$862,7,0))</f>
        <v>-</v>
      </c>
      <c r="H142" s="9" t="str">
        <f>IF(OR(E142="",E142="F",F142="DQ",F142="DNF",F142="DNS",F142=""),"-",VLOOKUP(C142,'FERDİ SONUÇ'!$B$6:$H$862,7,0))</f>
        <v>-</v>
      </c>
      <c r="I142" s="11" t="str">
        <f>IF(ISERROR(SMALL(H142:H145,1)),"-",SMALL(H142:H145,1))</f>
        <v>-</v>
      </c>
      <c r="J142" s="12"/>
      <c r="BA142" s="2">
        <v>1204</v>
      </c>
      <c r="BB142" s="50"/>
    </row>
    <row r="143" spans="1:54" ht="15" customHeight="1">
      <c r="A143" s="13"/>
      <c r="B143" s="14"/>
      <c r="C143" s="141"/>
      <c r="D143" s="15">
        <f>IF(ISERROR(VLOOKUP($C143,'START LİSTE'!$B$6:$F$1027,2,0)),"",VLOOKUP($C143,'START LİSTE'!$B$6:$F$1027,2,0))</f>
      </c>
      <c r="E143" s="16">
        <f>IF(ISERROR(VLOOKUP($C143,'START LİSTE'!$B$6:$F$1027,4,0)),"",VLOOKUP($C143,'START LİSTE'!$B$6:$F$1027,4,0))</f>
      </c>
      <c r="F143" s="108">
        <f>IF(ISERROR(VLOOKUP($C143,'FERDİ SONUÇ'!$B$6:$H$862,6,0)),"",VLOOKUP($C143,'FERDİ SONUÇ'!$B$6:$H$862,6,0))</f>
      </c>
      <c r="G143" s="16" t="str">
        <f>IF(OR(E143="",F143="DQ",F143="DNF",F143="DNS",F143=""),"-",VLOOKUP(C143,'FERDİ SONUÇ'!$B$6:$H$862,7,0))</f>
        <v>-</v>
      </c>
      <c r="H143" s="16" t="str">
        <f>IF(OR(E143="",E143="F",F143="DQ",F143="DNF",F143="DNS",F143=""),"-",VLOOKUP(C143,'FERDİ SONUÇ'!$B$6:$H$862,7,0))</f>
        <v>-</v>
      </c>
      <c r="I143" s="18" t="str">
        <f>IF(ISERROR(SMALL(H142:H145,2)),"-",SMALL(H142:H145,2))</f>
        <v>-</v>
      </c>
      <c r="J143" s="19"/>
      <c r="BA143" s="2">
        <v>1205</v>
      </c>
      <c r="BB143" s="51"/>
    </row>
    <row r="144" spans="1:54" ht="15" customHeight="1">
      <c r="A144" s="30">
        <f>IF(AND(B144&lt;&gt;"",J144&lt;&gt;"DQ"),COUNT(J$6:J$245)-(RANK(J144,J$6:J$245)+COUNTIF(J$6:J144,J144))+2,IF(C142&lt;&gt;"",BA144,""))</f>
      </c>
      <c r="B144" s="14">
        <f>IF(ISERROR(VLOOKUP(C142,'START LİSTE'!$B$6:$F$1027,3,0)),"",VLOOKUP(C142,'START LİSTE'!$B$6:$F$1027,3,0))</f>
      </c>
      <c r="C144" s="141"/>
      <c r="D144" s="15">
        <f>IF(ISERROR(VLOOKUP($C144,'START LİSTE'!$B$6:$F$1027,2,0)),"",VLOOKUP($C144,'START LİSTE'!$B$6:$F$1027,2,0))</f>
      </c>
      <c r="E144" s="16">
        <f>IF(ISERROR(VLOOKUP($C144,'START LİSTE'!$B$6:$F$1027,4,0)),"",VLOOKUP($C144,'START LİSTE'!$B$6:$F$1027,4,0))</f>
      </c>
      <c r="F144" s="108">
        <f>IF(ISERROR(VLOOKUP($C144,'FERDİ SONUÇ'!$B$6:$H$862,6,0)),"",VLOOKUP($C144,'FERDİ SONUÇ'!$B$6:$H$862,6,0))</f>
      </c>
      <c r="G144" s="16" t="str">
        <f>IF(OR(E144="",F144="DQ",F144="DNF",F144="DNS",F144=""),"-",VLOOKUP(C144,'FERDİ SONUÇ'!$B$6:$H$862,7,0))</f>
        <v>-</v>
      </c>
      <c r="H144" s="16" t="str">
        <f>IF(OR(E144="",E144="F",F144="DQ",F144="DNF",F144="DNS",F144=""),"-",VLOOKUP(C144,'FERDİ SONUÇ'!$B$6:$H$862,7,0))</f>
        <v>-</v>
      </c>
      <c r="I144" s="18" t="str">
        <f>IF(ISERROR(SMALL(H142:H145,3)),"-",SMALL(H142:H145,3))</f>
        <v>-</v>
      </c>
      <c r="J144" s="20">
        <f>IF(C142="","",IF(OR(I142="-",I143="-",I144="-"),"DQ",SUM(I142,I143,I144)))</f>
      </c>
      <c r="BA144" s="2">
        <v>1206</v>
      </c>
      <c r="BB144" s="51"/>
    </row>
    <row r="145" spans="1:54" ht="15" customHeight="1">
      <c r="A145" s="13"/>
      <c r="B145" s="14"/>
      <c r="C145" s="141"/>
      <c r="D145" s="15">
        <f>IF(ISERROR(VLOOKUP($C145,'START LİSTE'!$B$6:$F$1027,2,0)),"",VLOOKUP($C145,'START LİSTE'!$B$6:$F$1027,2,0))</f>
      </c>
      <c r="E145" s="16">
        <f>IF(ISERROR(VLOOKUP($C145,'START LİSTE'!$B$6:$F$1027,4,0)),"",VLOOKUP($C145,'START LİSTE'!$B$6:$F$1027,4,0))</f>
      </c>
      <c r="F145" s="108">
        <f>IF(ISERROR(VLOOKUP($C145,'FERDİ SONUÇ'!$B$6:$H$862,6,0)),"",VLOOKUP($C145,'FERDİ SONUÇ'!$B$6:$H$862,6,0))</f>
      </c>
      <c r="G145" s="16" t="str">
        <f>IF(OR(E145="",F145="DQ",F145="DNF",F145="DNS",F145=""),"-",VLOOKUP(C145,'FERDİ SONUÇ'!$B$6:$H$862,7,0))</f>
        <v>-</v>
      </c>
      <c r="H145" s="16" t="str">
        <f>IF(OR(E145="",E145="F",F145="DQ",F145="DNF",F145="DNS",F145=""),"-",VLOOKUP(C145,'FERDİ SONUÇ'!$B$6:$H$862,7,0))</f>
        <v>-</v>
      </c>
      <c r="I145" s="18" t="str">
        <f>IF(ISERROR(SMALL(H142:H145,4)),"-",SMALL(H142:H145,4))</f>
        <v>-</v>
      </c>
      <c r="J145" s="19"/>
      <c r="BA145" s="2">
        <v>1207</v>
      </c>
      <c r="BB145" s="52"/>
    </row>
    <row r="146" spans="1:54" ht="15" customHeight="1">
      <c r="A146" s="6"/>
      <c r="B146" s="7"/>
      <c r="C146" s="140"/>
      <c r="D146" s="8">
        <f>IF(ISERROR(VLOOKUP($C146,'START LİSTE'!$B$6:$F$1027,2,0)),"",VLOOKUP($C146,'START LİSTE'!$B$6:$F$1027,2,0))</f>
      </c>
      <c r="E146" s="9">
        <f>IF(ISERROR(VLOOKUP($C146,'START LİSTE'!$B$6:$F$1027,4,0)),"",VLOOKUP($C146,'START LİSTE'!$B$6:$F$1027,4,0))</f>
      </c>
      <c r="F146" s="107">
        <f>IF(ISERROR(VLOOKUP($C146,'FERDİ SONUÇ'!$B$6:$H$862,6,0)),"",VLOOKUP($C146,'FERDİ SONUÇ'!$B$6:$H$862,6,0))</f>
      </c>
      <c r="G146" s="9" t="str">
        <f>IF(OR(E146="",F146="DQ",F146="DNF",F146="DNS",F146=""),"-",VLOOKUP(C146,'FERDİ SONUÇ'!$B$6:$H$862,7,0))</f>
        <v>-</v>
      </c>
      <c r="H146" s="9" t="str">
        <f>IF(OR(E146="",E146="F",F146="DQ",F146="DNF",F146="DNS",F146=""),"-",VLOOKUP(C146,'FERDİ SONUÇ'!$B$6:$H$862,7,0))</f>
        <v>-</v>
      </c>
      <c r="I146" s="11" t="str">
        <f>IF(ISERROR(SMALL(H146:H149,1)),"-",SMALL(H146:H149,1))</f>
        <v>-</v>
      </c>
      <c r="J146" s="12"/>
      <c r="BA146" s="2">
        <v>1210</v>
      </c>
      <c r="BB146" s="50"/>
    </row>
    <row r="147" spans="1:54" ht="15" customHeight="1">
      <c r="A147" s="13"/>
      <c r="B147" s="14"/>
      <c r="C147" s="141"/>
      <c r="D147" s="15">
        <f>IF(ISERROR(VLOOKUP($C147,'START LİSTE'!$B$6:$F$1027,2,0)),"",VLOOKUP($C147,'START LİSTE'!$B$6:$F$1027,2,0))</f>
      </c>
      <c r="E147" s="16">
        <f>IF(ISERROR(VLOOKUP($C147,'START LİSTE'!$B$6:$F$1027,4,0)),"",VLOOKUP($C147,'START LİSTE'!$B$6:$F$1027,4,0))</f>
      </c>
      <c r="F147" s="108">
        <f>IF(ISERROR(VLOOKUP($C147,'FERDİ SONUÇ'!$B$6:$H$862,6,0)),"",VLOOKUP($C147,'FERDİ SONUÇ'!$B$6:$H$862,6,0))</f>
      </c>
      <c r="G147" s="16" t="str">
        <f>IF(OR(E147="",F147="DQ",F147="DNF",F147="DNS",F147=""),"-",VLOOKUP(C147,'FERDİ SONUÇ'!$B$6:$H$862,7,0))</f>
        <v>-</v>
      </c>
      <c r="H147" s="16" t="str">
        <f>IF(OR(E147="",E147="F",F147="DQ",F147="DNF",F147="DNS",F147=""),"-",VLOOKUP(C147,'FERDİ SONUÇ'!$B$6:$H$862,7,0))</f>
        <v>-</v>
      </c>
      <c r="I147" s="18" t="str">
        <f>IF(ISERROR(SMALL(H146:H149,2)),"-",SMALL(H146:H149,2))</f>
        <v>-</v>
      </c>
      <c r="J147" s="19"/>
      <c r="BA147" s="2">
        <v>1211</v>
      </c>
      <c r="BB147" s="51"/>
    </row>
    <row r="148" spans="1:54" ht="15" customHeight="1">
      <c r="A148" s="30">
        <f>IF(AND(B148&lt;&gt;"",J148&lt;&gt;"DQ"),COUNT(J$6:J$245)-(RANK(J148,J$6:J$245)+COUNTIF(J$6:J148,J148))+2,IF(C146&lt;&gt;"",BA148,""))</f>
      </c>
      <c r="B148" s="14">
        <f>IF(ISERROR(VLOOKUP(C146,'START LİSTE'!$B$6:$F$1027,3,0)),"",VLOOKUP(C146,'START LİSTE'!$B$6:$F$1027,3,0))</f>
      </c>
      <c r="C148" s="141"/>
      <c r="D148" s="15">
        <f>IF(ISERROR(VLOOKUP($C148,'START LİSTE'!$B$6:$F$1027,2,0)),"",VLOOKUP($C148,'START LİSTE'!$B$6:$F$1027,2,0))</f>
      </c>
      <c r="E148" s="16">
        <f>IF(ISERROR(VLOOKUP($C148,'START LİSTE'!$B$6:$F$1027,4,0)),"",VLOOKUP($C148,'START LİSTE'!$B$6:$F$1027,4,0))</f>
      </c>
      <c r="F148" s="108">
        <f>IF(ISERROR(VLOOKUP($C148,'FERDİ SONUÇ'!$B$6:$H$862,6,0)),"",VLOOKUP($C148,'FERDİ SONUÇ'!$B$6:$H$862,6,0))</f>
      </c>
      <c r="G148" s="16" t="str">
        <f>IF(OR(E148="",F148="DQ",F148="DNF",F148="DNS",F148=""),"-",VLOOKUP(C148,'FERDİ SONUÇ'!$B$6:$H$862,7,0))</f>
        <v>-</v>
      </c>
      <c r="H148" s="16" t="str">
        <f>IF(OR(E148="",E148="F",F148="DQ",F148="DNF",F148="DNS",F148=""),"-",VLOOKUP(C148,'FERDİ SONUÇ'!$B$6:$H$862,7,0))</f>
        <v>-</v>
      </c>
      <c r="I148" s="18" t="str">
        <f>IF(ISERROR(SMALL(H146:H149,3)),"-",SMALL(H146:H149,3))</f>
        <v>-</v>
      </c>
      <c r="J148" s="20">
        <f>IF(C146="","",IF(OR(I146="-",I147="-",I148="-"),"DQ",SUM(I146,I147,I148)))</f>
      </c>
      <c r="BA148" s="2">
        <v>1212</v>
      </c>
      <c r="BB148" s="51"/>
    </row>
    <row r="149" spans="1:54" ht="15" customHeight="1">
      <c r="A149" s="13"/>
      <c r="B149" s="14"/>
      <c r="C149" s="141"/>
      <c r="D149" s="15">
        <f>IF(ISERROR(VLOOKUP($C149,'START LİSTE'!$B$6:$F$1027,2,0)),"",VLOOKUP($C149,'START LİSTE'!$B$6:$F$1027,2,0))</f>
      </c>
      <c r="E149" s="16">
        <f>IF(ISERROR(VLOOKUP($C149,'START LİSTE'!$B$6:$F$1027,4,0)),"",VLOOKUP($C149,'START LİSTE'!$B$6:$F$1027,4,0))</f>
      </c>
      <c r="F149" s="108">
        <f>IF(ISERROR(VLOOKUP($C149,'FERDİ SONUÇ'!$B$6:$H$862,6,0)),"",VLOOKUP($C149,'FERDİ SONUÇ'!$B$6:$H$862,6,0))</f>
      </c>
      <c r="G149" s="16" t="str">
        <f>IF(OR(E149="",F149="DQ",F149="DNF",F149="DNS",F149=""),"-",VLOOKUP(C149,'FERDİ SONUÇ'!$B$6:$H$862,7,0))</f>
        <v>-</v>
      </c>
      <c r="H149" s="16" t="str">
        <f>IF(OR(E149="",E149="F",F149="DQ",F149="DNF",F149="DNS",F149=""),"-",VLOOKUP(C149,'FERDİ SONUÇ'!$B$6:$H$862,7,0))</f>
        <v>-</v>
      </c>
      <c r="I149" s="18" t="str">
        <f>IF(ISERROR(SMALL(H146:H149,4)),"-",SMALL(H146:H149,4))</f>
        <v>-</v>
      </c>
      <c r="J149" s="19"/>
      <c r="BA149" s="2">
        <v>1213</v>
      </c>
      <c r="BB149" s="52"/>
    </row>
    <row r="150" spans="1:54" ht="15" customHeight="1">
      <c r="A150" s="6"/>
      <c r="B150" s="7"/>
      <c r="C150" s="140"/>
      <c r="D150" s="8">
        <f>IF(ISERROR(VLOOKUP($C150,'START LİSTE'!$B$6:$F$1027,2,0)),"",VLOOKUP($C150,'START LİSTE'!$B$6:$F$1027,2,0))</f>
      </c>
      <c r="E150" s="9">
        <f>IF(ISERROR(VLOOKUP($C150,'START LİSTE'!$B$6:$F$1027,4,0)),"",VLOOKUP($C150,'START LİSTE'!$B$6:$F$1027,4,0))</f>
      </c>
      <c r="F150" s="107">
        <f>IF(ISERROR(VLOOKUP($C150,'FERDİ SONUÇ'!$B$6:$H$862,6,0)),"",VLOOKUP($C150,'FERDİ SONUÇ'!$B$6:$H$862,6,0))</f>
      </c>
      <c r="G150" s="9" t="str">
        <f>IF(OR(E150="",F150="DQ",F150="DNF",F150="DNS",F150=""),"-",VLOOKUP(C150,'FERDİ SONUÇ'!$B$6:$H$862,7,0))</f>
        <v>-</v>
      </c>
      <c r="H150" s="9" t="str">
        <f>IF(OR(E150="",E150="F",F150="DQ",F150="DNF",F150="DNS",F150=""),"-",VLOOKUP(C150,'FERDİ SONUÇ'!$B$6:$H$862,7,0))</f>
        <v>-</v>
      </c>
      <c r="I150" s="11" t="str">
        <f>IF(ISERROR(SMALL(H150:H153,1)),"-",SMALL(H150:H153,1))</f>
        <v>-</v>
      </c>
      <c r="J150" s="12"/>
      <c r="BA150" s="2">
        <v>1216</v>
      </c>
      <c r="BB150" s="50"/>
    </row>
    <row r="151" spans="1:54" ht="15" customHeight="1">
      <c r="A151" s="13"/>
      <c r="B151" s="14"/>
      <c r="C151" s="141"/>
      <c r="D151" s="15">
        <f>IF(ISERROR(VLOOKUP($C151,'START LİSTE'!$B$6:$F$1027,2,0)),"",VLOOKUP($C151,'START LİSTE'!$B$6:$F$1027,2,0))</f>
      </c>
      <c r="E151" s="16">
        <f>IF(ISERROR(VLOOKUP($C151,'START LİSTE'!$B$6:$F$1027,4,0)),"",VLOOKUP($C151,'START LİSTE'!$B$6:$F$1027,4,0))</f>
      </c>
      <c r="F151" s="108">
        <f>IF(ISERROR(VLOOKUP($C151,'FERDİ SONUÇ'!$B$6:$H$862,6,0)),"",VLOOKUP($C151,'FERDİ SONUÇ'!$B$6:$H$862,6,0))</f>
      </c>
      <c r="G151" s="16" t="str">
        <f>IF(OR(E151="",F151="DQ",F151="DNF",F151="DNS",F151=""),"-",VLOOKUP(C151,'FERDİ SONUÇ'!$B$6:$H$862,7,0))</f>
        <v>-</v>
      </c>
      <c r="H151" s="16" t="str">
        <f>IF(OR(E151="",E151="F",F151="DQ",F151="DNF",F151="DNS",F151=""),"-",VLOOKUP(C151,'FERDİ SONUÇ'!$B$6:$H$862,7,0))</f>
        <v>-</v>
      </c>
      <c r="I151" s="18" t="str">
        <f>IF(ISERROR(SMALL(H150:H153,2)),"-",SMALL(H150:H153,2))</f>
        <v>-</v>
      </c>
      <c r="J151" s="19"/>
      <c r="BA151" s="2">
        <v>1217</v>
      </c>
      <c r="BB151" s="51"/>
    </row>
    <row r="152" spans="1:54" ht="15" customHeight="1">
      <c r="A152" s="30">
        <f>IF(AND(B152&lt;&gt;"",J152&lt;&gt;"DQ"),COUNT(J$6:J$245)-(RANK(J152,J$6:J$245)+COUNTIF(J$6:J152,J152))+2,IF(C150&lt;&gt;"",BA152,""))</f>
      </c>
      <c r="B152" s="14">
        <f>IF(ISERROR(VLOOKUP(C150,'START LİSTE'!$B$6:$F$1027,3,0)),"",VLOOKUP(C150,'START LİSTE'!$B$6:$F$1027,3,0))</f>
      </c>
      <c r="C152" s="141"/>
      <c r="D152" s="15">
        <f>IF(ISERROR(VLOOKUP($C152,'START LİSTE'!$B$6:$F$1027,2,0)),"",VLOOKUP($C152,'START LİSTE'!$B$6:$F$1027,2,0))</f>
      </c>
      <c r="E152" s="16">
        <f>IF(ISERROR(VLOOKUP($C152,'START LİSTE'!$B$6:$F$1027,4,0)),"",VLOOKUP($C152,'START LİSTE'!$B$6:$F$1027,4,0))</f>
      </c>
      <c r="F152" s="108">
        <f>IF(ISERROR(VLOOKUP($C152,'FERDİ SONUÇ'!$B$6:$H$862,6,0)),"",VLOOKUP($C152,'FERDİ SONUÇ'!$B$6:$H$862,6,0))</f>
      </c>
      <c r="G152" s="16" t="str">
        <f>IF(OR(E152="",F152="DQ",F152="DNF",F152="DNS",F152=""),"-",VLOOKUP(C152,'FERDİ SONUÇ'!$B$6:$H$862,7,0))</f>
        <v>-</v>
      </c>
      <c r="H152" s="16" t="str">
        <f>IF(OR(E152="",E152="F",F152="DQ",F152="DNF",F152="DNS",F152=""),"-",VLOOKUP(C152,'FERDİ SONUÇ'!$B$6:$H$862,7,0))</f>
        <v>-</v>
      </c>
      <c r="I152" s="18" t="str">
        <f>IF(ISERROR(SMALL(H150:H153,3)),"-",SMALL(H150:H153,3))</f>
        <v>-</v>
      </c>
      <c r="J152" s="20">
        <f>IF(C150="","",IF(OR(I150="-",I151="-",I152="-"),"DQ",SUM(I150,I151,I152)))</f>
      </c>
      <c r="BA152" s="2">
        <v>1218</v>
      </c>
      <c r="BB152" s="51"/>
    </row>
    <row r="153" spans="1:54" ht="15" customHeight="1">
      <c r="A153" s="13"/>
      <c r="B153" s="14"/>
      <c r="C153" s="141"/>
      <c r="D153" s="15">
        <f>IF(ISERROR(VLOOKUP($C153,'START LİSTE'!$B$6:$F$1027,2,0)),"",VLOOKUP($C153,'START LİSTE'!$B$6:$F$1027,2,0))</f>
      </c>
      <c r="E153" s="16">
        <f>IF(ISERROR(VLOOKUP($C153,'START LİSTE'!$B$6:$F$1027,4,0)),"",VLOOKUP($C153,'START LİSTE'!$B$6:$F$1027,4,0))</f>
      </c>
      <c r="F153" s="108">
        <f>IF(ISERROR(VLOOKUP($C153,'FERDİ SONUÇ'!$B$6:$H$862,6,0)),"",VLOOKUP($C153,'FERDİ SONUÇ'!$B$6:$H$862,6,0))</f>
      </c>
      <c r="G153" s="16" t="str">
        <f>IF(OR(E153="",F153="DQ",F153="DNF",F153="DNS",F153=""),"-",VLOOKUP(C153,'FERDİ SONUÇ'!$B$6:$H$862,7,0))</f>
        <v>-</v>
      </c>
      <c r="H153" s="16" t="str">
        <f>IF(OR(E153="",E153="F",F153="DQ",F153="DNF",F153="DNS",F153=""),"-",VLOOKUP(C153,'FERDİ SONUÇ'!$B$6:$H$862,7,0))</f>
        <v>-</v>
      </c>
      <c r="I153" s="18" t="str">
        <f>IF(ISERROR(SMALL(H150:H153,4)),"-",SMALL(H150:H153,4))</f>
        <v>-</v>
      </c>
      <c r="J153" s="19"/>
      <c r="BA153" s="2">
        <v>1219</v>
      </c>
      <c r="BB153" s="52"/>
    </row>
    <row r="154" spans="1:54" ht="15" customHeight="1">
      <c r="A154" s="6"/>
      <c r="B154" s="7"/>
      <c r="C154" s="140"/>
      <c r="D154" s="8">
        <f>IF(ISERROR(VLOOKUP($C154,'START LİSTE'!$B$6:$F$1027,2,0)),"",VLOOKUP($C154,'START LİSTE'!$B$6:$F$1027,2,0))</f>
      </c>
      <c r="E154" s="9">
        <f>IF(ISERROR(VLOOKUP($C154,'START LİSTE'!$B$6:$F$1027,4,0)),"",VLOOKUP($C154,'START LİSTE'!$B$6:$F$1027,4,0))</f>
      </c>
      <c r="F154" s="107">
        <f>IF(ISERROR(VLOOKUP($C154,'FERDİ SONUÇ'!$B$6:$H$862,6,0)),"",VLOOKUP($C154,'FERDİ SONUÇ'!$B$6:$H$862,6,0))</f>
      </c>
      <c r="G154" s="9" t="str">
        <f>IF(OR(E154="",F154="DQ",F154="DNF",F154="DNS",F154=""),"-",VLOOKUP(C154,'FERDİ SONUÇ'!$B$6:$H$862,7,0))</f>
        <v>-</v>
      </c>
      <c r="H154" s="9" t="str">
        <f>IF(OR(E154="",E154="F",F154="DQ",F154="DNF",F154="DNS",F154=""),"-",VLOOKUP(C154,'FERDİ SONUÇ'!$B$6:$H$862,7,0))</f>
        <v>-</v>
      </c>
      <c r="I154" s="11" t="str">
        <f>IF(ISERROR(SMALL(H154:H157,1)),"-",SMALL(H154:H157,1))</f>
        <v>-</v>
      </c>
      <c r="J154" s="12"/>
      <c r="BA154" s="2">
        <v>1222</v>
      </c>
      <c r="BB154" s="50"/>
    </row>
    <row r="155" spans="1:54" ht="15" customHeight="1">
      <c r="A155" s="13"/>
      <c r="B155" s="14"/>
      <c r="C155" s="141"/>
      <c r="D155" s="15">
        <f>IF(ISERROR(VLOOKUP($C155,'START LİSTE'!$B$6:$F$1027,2,0)),"",VLOOKUP($C155,'START LİSTE'!$B$6:$F$1027,2,0))</f>
      </c>
      <c r="E155" s="16">
        <f>IF(ISERROR(VLOOKUP($C155,'START LİSTE'!$B$6:$F$1027,4,0)),"",VLOOKUP($C155,'START LİSTE'!$B$6:$F$1027,4,0))</f>
      </c>
      <c r="F155" s="108">
        <f>IF(ISERROR(VLOOKUP($C155,'FERDİ SONUÇ'!$B$6:$H$862,6,0)),"",VLOOKUP($C155,'FERDİ SONUÇ'!$B$6:$H$862,6,0))</f>
      </c>
      <c r="G155" s="16" t="str">
        <f>IF(OR(E155="",F155="DQ",F155="DNF",F155="DNS",F155=""),"-",VLOOKUP(C155,'FERDİ SONUÇ'!$B$6:$H$862,7,0))</f>
        <v>-</v>
      </c>
      <c r="H155" s="16" t="str">
        <f>IF(OR(E155="",E155="F",F155="DQ",F155="DNF",F155="DNS",F155=""),"-",VLOOKUP(C155,'FERDİ SONUÇ'!$B$6:$H$862,7,0))</f>
        <v>-</v>
      </c>
      <c r="I155" s="18" t="str">
        <f>IF(ISERROR(SMALL(H154:H157,2)),"-",SMALL(H154:H157,2))</f>
        <v>-</v>
      </c>
      <c r="J155" s="19"/>
      <c r="BA155" s="2">
        <v>1223</v>
      </c>
      <c r="BB155" s="51"/>
    </row>
    <row r="156" spans="1:54" ht="15" customHeight="1">
      <c r="A156" s="30">
        <f>IF(AND(B156&lt;&gt;"",J156&lt;&gt;"DQ"),COUNT(J$6:J$245)-(RANK(J156,J$6:J$245)+COUNTIF(J$6:J156,J156))+2,IF(C154&lt;&gt;"",BA156,""))</f>
      </c>
      <c r="B156" s="14">
        <f>IF(ISERROR(VLOOKUP(C154,'START LİSTE'!$B$6:$F$1027,3,0)),"",VLOOKUP(C154,'START LİSTE'!$B$6:$F$1027,3,0))</f>
      </c>
      <c r="C156" s="141"/>
      <c r="D156" s="15">
        <f>IF(ISERROR(VLOOKUP($C156,'START LİSTE'!$B$6:$F$1027,2,0)),"",VLOOKUP($C156,'START LİSTE'!$B$6:$F$1027,2,0))</f>
      </c>
      <c r="E156" s="16">
        <f>IF(ISERROR(VLOOKUP($C156,'START LİSTE'!$B$6:$F$1027,4,0)),"",VLOOKUP($C156,'START LİSTE'!$B$6:$F$1027,4,0))</f>
      </c>
      <c r="F156" s="108">
        <f>IF(ISERROR(VLOOKUP($C156,'FERDİ SONUÇ'!$B$6:$H$862,6,0)),"",VLOOKUP($C156,'FERDİ SONUÇ'!$B$6:$H$862,6,0))</f>
      </c>
      <c r="G156" s="16" t="str">
        <f>IF(OR(E156="",F156="DQ",F156="DNF",F156="DNS",F156=""),"-",VLOOKUP(C156,'FERDİ SONUÇ'!$B$6:$H$862,7,0))</f>
        <v>-</v>
      </c>
      <c r="H156" s="16" t="str">
        <f>IF(OR(E156="",E156="F",F156="DQ",F156="DNF",F156="DNS",F156=""),"-",VLOOKUP(C156,'FERDİ SONUÇ'!$B$6:$H$862,7,0))</f>
        <v>-</v>
      </c>
      <c r="I156" s="18" t="str">
        <f>IF(ISERROR(SMALL(H154:H157,3)),"-",SMALL(H154:H157,3))</f>
        <v>-</v>
      </c>
      <c r="J156" s="20">
        <f>IF(C154="","",IF(OR(I154="-",I155="-",I156="-"),"DQ",SUM(I154,I155,I156)))</f>
      </c>
      <c r="BA156" s="2">
        <v>1224</v>
      </c>
      <c r="BB156" s="51"/>
    </row>
    <row r="157" spans="1:54" ht="15" customHeight="1">
      <c r="A157" s="13"/>
      <c r="B157" s="14"/>
      <c r="C157" s="141"/>
      <c r="D157" s="15">
        <f>IF(ISERROR(VLOOKUP($C157,'START LİSTE'!$B$6:$F$1027,2,0)),"",VLOOKUP($C157,'START LİSTE'!$B$6:$F$1027,2,0))</f>
      </c>
      <c r="E157" s="16">
        <f>IF(ISERROR(VLOOKUP($C157,'START LİSTE'!$B$6:$F$1027,4,0)),"",VLOOKUP($C157,'START LİSTE'!$B$6:$F$1027,4,0))</f>
      </c>
      <c r="F157" s="108">
        <f>IF(ISERROR(VLOOKUP($C157,'FERDİ SONUÇ'!$B$6:$H$862,6,0)),"",VLOOKUP($C157,'FERDİ SONUÇ'!$B$6:$H$862,6,0))</f>
      </c>
      <c r="G157" s="16" t="str">
        <f>IF(OR(E157="",F157="DQ",F157="DNF",F157="DNS",F157=""),"-",VLOOKUP(C157,'FERDİ SONUÇ'!$B$6:$H$862,7,0))</f>
        <v>-</v>
      </c>
      <c r="H157" s="16" t="str">
        <f>IF(OR(E157="",E157="F",F157="DQ",F157="DNF",F157="DNS",F157=""),"-",VLOOKUP(C157,'FERDİ SONUÇ'!$B$6:$H$862,7,0))</f>
        <v>-</v>
      </c>
      <c r="I157" s="18" t="str">
        <f>IF(ISERROR(SMALL(H154:H157,4)),"-",SMALL(H154:H157,4))</f>
        <v>-</v>
      </c>
      <c r="J157" s="19"/>
      <c r="BA157" s="2">
        <v>1225</v>
      </c>
      <c r="BB157" s="52"/>
    </row>
    <row r="158" spans="1:54" ht="15" customHeight="1">
      <c r="A158" s="6"/>
      <c r="B158" s="7"/>
      <c r="C158" s="140"/>
      <c r="D158" s="8">
        <f>IF(ISERROR(VLOOKUP($C158,'START LİSTE'!$B$6:$F$1027,2,0)),"",VLOOKUP($C158,'START LİSTE'!$B$6:$F$1027,2,0))</f>
      </c>
      <c r="E158" s="9">
        <f>IF(ISERROR(VLOOKUP($C158,'START LİSTE'!$B$6:$F$1027,4,0)),"",VLOOKUP($C158,'START LİSTE'!$B$6:$F$1027,4,0))</f>
      </c>
      <c r="F158" s="107">
        <f>IF(ISERROR(VLOOKUP($C158,'FERDİ SONUÇ'!$B$6:$H$862,6,0)),"",VLOOKUP($C158,'FERDİ SONUÇ'!$B$6:$H$862,6,0))</f>
      </c>
      <c r="G158" s="9" t="str">
        <f>IF(OR(E158="",F158="DQ",F158="DNF",F158="DNS",F158=""),"-",VLOOKUP(C158,'FERDİ SONUÇ'!$B$6:$H$862,7,0))</f>
        <v>-</v>
      </c>
      <c r="H158" s="9" t="str">
        <f>IF(OR(E158="",E158="F",F158="DQ",F158="DNF",F158="DNS",F158=""),"-",VLOOKUP(C158,'FERDİ SONUÇ'!$B$6:$H$862,7,0))</f>
        <v>-</v>
      </c>
      <c r="I158" s="11" t="str">
        <f>IF(ISERROR(SMALL(H158:H161,1)),"-",SMALL(H158:H161,1))</f>
        <v>-</v>
      </c>
      <c r="J158" s="12"/>
      <c r="BA158" s="2">
        <v>1228</v>
      </c>
      <c r="BB158" s="50"/>
    </row>
    <row r="159" spans="1:54" ht="15" customHeight="1">
      <c r="A159" s="13"/>
      <c r="B159" s="14"/>
      <c r="C159" s="141"/>
      <c r="D159" s="15">
        <f>IF(ISERROR(VLOOKUP($C159,'START LİSTE'!$B$6:$F$1027,2,0)),"",VLOOKUP($C159,'START LİSTE'!$B$6:$F$1027,2,0))</f>
      </c>
      <c r="E159" s="16">
        <f>IF(ISERROR(VLOOKUP($C159,'START LİSTE'!$B$6:$F$1027,4,0)),"",VLOOKUP($C159,'START LİSTE'!$B$6:$F$1027,4,0))</f>
      </c>
      <c r="F159" s="108">
        <f>IF(ISERROR(VLOOKUP($C159,'FERDİ SONUÇ'!$B$6:$H$862,6,0)),"",VLOOKUP($C159,'FERDİ SONUÇ'!$B$6:$H$862,6,0))</f>
      </c>
      <c r="G159" s="16" t="str">
        <f>IF(OR(E159="",F159="DQ",F159="DNF",F159="DNS",F159=""),"-",VLOOKUP(C159,'FERDİ SONUÇ'!$B$6:$H$862,7,0))</f>
        <v>-</v>
      </c>
      <c r="H159" s="16" t="str">
        <f>IF(OR(E159="",E159="F",F159="DQ",F159="DNF",F159="DNS",F159=""),"-",VLOOKUP(C159,'FERDİ SONUÇ'!$B$6:$H$862,7,0))</f>
        <v>-</v>
      </c>
      <c r="I159" s="18" t="str">
        <f>IF(ISERROR(SMALL(H158:H161,2)),"-",SMALL(H158:H161,2))</f>
        <v>-</v>
      </c>
      <c r="J159" s="19"/>
      <c r="BA159" s="2">
        <v>1229</v>
      </c>
      <c r="BB159" s="51"/>
    </row>
    <row r="160" spans="1:54" ht="15" customHeight="1">
      <c r="A160" s="30">
        <f>IF(AND(B160&lt;&gt;"",J160&lt;&gt;"DQ"),COUNT(J$6:J$245)-(RANK(J160,J$6:J$245)+COUNTIF(J$6:J160,J160))+2,IF(C158&lt;&gt;"",BA160,""))</f>
      </c>
      <c r="B160" s="14">
        <f>IF(ISERROR(VLOOKUP(C158,'START LİSTE'!$B$6:$F$1027,3,0)),"",VLOOKUP(C158,'START LİSTE'!$B$6:$F$1027,3,0))</f>
      </c>
      <c r="C160" s="141"/>
      <c r="D160" s="15">
        <f>IF(ISERROR(VLOOKUP($C160,'START LİSTE'!$B$6:$F$1027,2,0)),"",VLOOKUP($C160,'START LİSTE'!$B$6:$F$1027,2,0))</f>
      </c>
      <c r="E160" s="16">
        <f>IF(ISERROR(VLOOKUP($C160,'START LİSTE'!$B$6:$F$1027,4,0)),"",VLOOKUP($C160,'START LİSTE'!$B$6:$F$1027,4,0))</f>
      </c>
      <c r="F160" s="108">
        <f>IF(ISERROR(VLOOKUP($C160,'FERDİ SONUÇ'!$B$6:$H$862,6,0)),"",VLOOKUP($C160,'FERDİ SONUÇ'!$B$6:$H$862,6,0))</f>
      </c>
      <c r="G160" s="16" t="str">
        <f>IF(OR(E160="",F160="DQ",F160="DNF",F160="DNS",F160=""),"-",VLOOKUP(C160,'FERDİ SONUÇ'!$B$6:$H$862,7,0))</f>
        <v>-</v>
      </c>
      <c r="H160" s="16" t="str">
        <f>IF(OR(E160="",E160="F",F160="DQ",F160="DNF",F160="DNS",F160=""),"-",VLOOKUP(C160,'FERDİ SONUÇ'!$B$6:$H$862,7,0))</f>
        <v>-</v>
      </c>
      <c r="I160" s="18" t="str">
        <f>IF(ISERROR(SMALL(H158:H161,3)),"-",SMALL(H158:H161,3))</f>
        <v>-</v>
      </c>
      <c r="J160" s="20">
        <f>IF(C158="","",IF(OR(I158="-",I159="-",I160="-"),"DQ",SUM(I158,I159,I160)))</f>
      </c>
      <c r="BA160" s="2">
        <v>1230</v>
      </c>
      <c r="BB160" s="51"/>
    </row>
    <row r="161" spans="1:54" ht="15" customHeight="1">
      <c r="A161" s="13"/>
      <c r="B161" s="14"/>
      <c r="C161" s="141"/>
      <c r="D161" s="15">
        <f>IF(ISERROR(VLOOKUP($C161,'START LİSTE'!$B$6:$F$1027,2,0)),"",VLOOKUP($C161,'START LİSTE'!$B$6:$F$1027,2,0))</f>
      </c>
      <c r="E161" s="16">
        <f>IF(ISERROR(VLOOKUP($C161,'START LİSTE'!$B$6:$F$1027,4,0)),"",VLOOKUP($C161,'START LİSTE'!$B$6:$F$1027,4,0))</f>
      </c>
      <c r="F161" s="108">
        <f>IF(ISERROR(VLOOKUP($C161,'FERDİ SONUÇ'!$B$6:$H$862,6,0)),"",VLOOKUP($C161,'FERDİ SONUÇ'!$B$6:$H$862,6,0))</f>
      </c>
      <c r="G161" s="16" t="str">
        <f>IF(OR(E161="",F161="DQ",F161="DNF",F161="DNS",F161=""),"-",VLOOKUP(C161,'FERDİ SONUÇ'!$B$6:$H$862,7,0))</f>
        <v>-</v>
      </c>
      <c r="H161" s="16" t="str">
        <f>IF(OR(E161="",E161="F",F161="DQ",F161="DNF",F161="DNS",F161=""),"-",VLOOKUP(C161,'FERDİ SONUÇ'!$B$6:$H$862,7,0))</f>
        <v>-</v>
      </c>
      <c r="I161" s="18" t="str">
        <f>IF(ISERROR(SMALL(H158:H161,4)),"-",SMALL(H158:H161,4))</f>
        <v>-</v>
      </c>
      <c r="J161" s="19"/>
      <c r="BA161" s="2">
        <v>1231</v>
      </c>
      <c r="BB161" s="52"/>
    </row>
    <row r="162" spans="1:54" ht="15" customHeight="1">
      <c r="A162" s="6"/>
      <c r="B162" s="7"/>
      <c r="C162" s="140"/>
      <c r="D162" s="8">
        <f>IF(ISERROR(VLOOKUP($C162,'START LİSTE'!$B$6:$F$1027,2,0)),"",VLOOKUP($C162,'START LİSTE'!$B$6:$F$1027,2,0))</f>
      </c>
      <c r="E162" s="9">
        <f>IF(ISERROR(VLOOKUP($C162,'START LİSTE'!$B$6:$F$1027,4,0)),"",VLOOKUP($C162,'START LİSTE'!$B$6:$F$1027,4,0))</f>
      </c>
      <c r="F162" s="107">
        <f>IF(ISERROR(VLOOKUP($C162,'FERDİ SONUÇ'!$B$6:$H$862,6,0)),"",VLOOKUP($C162,'FERDİ SONUÇ'!$B$6:$H$862,6,0))</f>
      </c>
      <c r="G162" s="9" t="str">
        <f>IF(OR(E162="",F162="DQ",F162="DNF",F162="DNS",F162=""),"-",VLOOKUP(C162,'FERDİ SONUÇ'!$B$6:$H$862,7,0))</f>
        <v>-</v>
      </c>
      <c r="H162" s="9" t="str">
        <f>IF(OR(E162="",E162="F",F162="DQ",F162="DNF",F162="DNS",F162=""),"-",VLOOKUP(C162,'FERDİ SONUÇ'!$B$6:$H$862,7,0))</f>
        <v>-</v>
      </c>
      <c r="I162" s="11" t="str">
        <f>IF(ISERROR(SMALL(H162:H165,1)),"-",SMALL(H162:H165,1))</f>
        <v>-</v>
      </c>
      <c r="J162" s="12"/>
      <c r="BA162" s="2">
        <v>1234</v>
      </c>
      <c r="BB162" s="50"/>
    </row>
    <row r="163" spans="1:54" ht="15" customHeight="1">
      <c r="A163" s="13"/>
      <c r="B163" s="14"/>
      <c r="C163" s="141"/>
      <c r="D163" s="15">
        <f>IF(ISERROR(VLOOKUP($C163,'START LİSTE'!$B$6:$F$1027,2,0)),"",VLOOKUP($C163,'START LİSTE'!$B$6:$F$1027,2,0))</f>
      </c>
      <c r="E163" s="16">
        <f>IF(ISERROR(VLOOKUP($C163,'START LİSTE'!$B$6:$F$1027,4,0)),"",VLOOKUP($C163,'START LİSTE'!$B$6:$F$1027,4,0))</f>
      </c>
      <c r="F163" s="108">
        <f>IF(ISERROR(VLOOKUP($C163,'FERDİ SONUÇ'!$B$6:$H$862,6,0)),"",VLOOKUP($C163,'FERDİ SONUÇ'!$B$6:$H$862,6,0))</f>
      </c>
      <c r="G163" s="16" t="str">
        <f>IF(OR(E163="",F163="DQ",F163="DNF",F163="DNS",F163=""),"-",VLOOKUP(C163,'FERDİ SONUÇ'!$B$6:$H$862,7,0))</f>
        <v>-</v>
      </c>
      <c r="H163" s="16" t="str">
        <f>IF(OR(E163="",E163="F",F163="DQ",F163="DNF",F163="DNS",F163=""),"-",VLOOKUP(C163,'FERDİ SONUÇ'!$B$6:$H$862,7,0))</f>
        <v>-</v>
      </c>
      <c r="I163" s="18" t="str">
        <f>IF(ISERROR(SMALL(H162:H165,2)),"-",SMALL(H162:H165,2))</f>
        <v>-</v>
      </c>
      <c r="J163" s="19"/>
      <c r="BA163" s="2">
        <v>1235</v>
      </c>
      <c r="BB163" s="51"/>
    </row>
    <row r="164" spans="1:54" ht="15" customHeight="1">
      <c r="A164" s="30">
        <f>IF(AND(B164&lt;&gt;"",J164&lt;&gt;"DQ"),COUNT(J$6:J$245)-(RANK(J164,J$6:J$245)+COUNTIF(J$6:J164,J164))+2,IF(C162&lt;&gt;"",BA164,""))</f>
      </c>
      <c r="B164" s="14">
        <f>IF(ISERROR(VLOOKUP(C162,'START LİSTE'!$B$6:$F$1027,3,0)),"",VLOOKUP(C162,'START LİSTE'!$B$6:$F$1027,3,0))</f>
      </c>
      <c r="C164" s="141"/>
      <c r="D164" s="15">
        <f>IF(ISERROR(VLOOKUP($C164,'START LİSTE'!$B$6:$F$1027,2,0)),"",VLOOKUP($C164,'START LİSTE'!$B$6:$F$1027,2,0))</f>
      </c>
      <c r="E164" s="16">
        <f>IF(ISERROR(VLOOKUP($C164,'START LİSTE'!$B$6:$F$1027,4,0)),"",VLOOKUP($C164,'START LİSTE'!$B$6:$F$1027,4,0))</f>
      </c>
      <c r="F164" s="108">
        <f>IF(ISERROR(VLOOKUP($C164,'FERDİ SONUÇ'!$B$6:$H$862,6,0)),"",VLOOKUP($C164,'FERDİ SONUÇ'!$B$6:$H$862,6,0))</f>
      </c>
      <c r="G164" s="16" t="str">
        <f>IF(OR(E164="",F164="DQ",F164="DNF",F164="DNS",F164=""),"-",VLOOKUP(C164,'FERDİ SONUÇ'!$B$6:$H$862,7,0))</f>
        <v>-</v>
      </c>
      <c r="H164" s="16" t="str">
        <f>IF(OR(E164="",E164="F",F164="DQ",F164="DNF",F164="DNS",F164=""),"-",VLOOKUP(C164,'FERDİ SONUÇ'!$B$6:$H$862,7,0))</f>
        <v>-</v>
      </c>
      <c r="I164" s="18" t="str">
        <f>IF(ISERROR(SMALL(H162:H165,3)),"-",SMALL(H162:H165,3))</f>
        <v>-</v>
      </c>
      <c r="J164" s="20">
        <f>IF(C162="","",IF(OR(I162="-",I163="-",I164="-"),"DQ",SUM(I162,I163,I164)))</f>
      </c>
      <c r="BA164" s="2">
        <v>1236</v>
      </c>
      <c r="BB164" s="51"/>
    </row>
    <row r="165" spans="1:54" ht="15" customHeight="1">
      <c r="A165" s="13"/>
      <c r="B165" s="14"/>
      <c r="C165" s="141"/>
      <c r="D165" s="15">
        <f>IF(ISERROR(VLOOKUP($C165,'START LİSTE'!$B$6:$F$1027,2,0)),"",VLOOKUP($C165,'START LİSTE'!$B$6:$F$1027,2,0))</f>
      </c>
      <c r="E165" s="16">
        <f>IF(ISERROR(VLOOKUP($C165,'START LİSTE'!$B$6:$F$1027,4,0)),"",VLOOKUP($C165,'START LİSTE'!$B$6:$F$1027,4,0))</f>
      </c>
      <c r="F165" s="108">
        <f>IF(ISERROR(VLOOKUP($C165,'FERDİ SONUÇ'!$B$6:$H$862,6,0)),"",VLOOKUP($C165,'FERDİ SONUÇ'!$B$6:$H$862,6,0))</f>
      </c>
      <c r="G165" s="16" t="str">
        <f>IF(OR(E165="",F165="DQ",F165="DNF",F165="DNS",F165=""),"-",VLOOKUP(C165,'FERDİ SONUÇ'!$B$6:$H$862,7,0))</f>
        <v>-</v>
      </c>
      <c r="H165" s="16" t="str">
        <f>IF(OR(E165="",E165="F",F165="DQ",F165="DNF",F165="DNS",F165=""),"-",VLOOKUP(C165,'FERDİ SONUÇ'!$B$6:$H$862,7,0))</f>
        <v>-</v>
      </c>
      <c r="I165" s="18" t="str">
        <f>IF(ISERROR(SMALL(H162:H165,4)),"-",SMALL(H162:H165,4))</f>
        <v>-</v>
      </c>
      <c r="J165" s="19"/>
      <c r="BA165" s="2">
        <v>1237</v>
      </c>
      <c r="BB165" s="52"/>
    </row>
    <row r="166" spans="1:54" ht="15" customHeight="1">
      <c r="A166" s="6"/>
      <c r="B166" s="7"/>
      <c r="C166" s="140"/>
      <c r="D166" s="8">
        <f>IF(ISERROR(VLOOKUP($C166,'START LİSTE'!$B$6:$F$1027,2,0)),"",VLOOKUP($C166,'START LİSTE'!$B$6:$F$1027,2,0))</f>
      </c>
      <c r="E166" s="9">
        <f>IF(ISERROR(VLOOKUP($C166,'START LİSTE'!$B$6:$F$1027,4,0)),"",VLOOKUP($C166,'START LİSTE'!$B$6:$F$1027,4,0))</f>
      </c>
      <c r="F166" s="107">
        <f>IF(ISERROR(VLOOKUP($C166,'FERDİ SONUÇ'!$B$6:$H$862,6,0)),"",VLOOKUP($C166,'FERDİ SONUÇ'!$B$6:$H$862,6,0))</f>
      </c>
      <c r="G166" s="9" t="str">
        <f>IF(OR(E166="",F166="DQ",F166="DNF",F166="DNS",F166=""),"-",VLOOKUP(C166,'FERDİ SONUÇ'!$B$6:$H$862,7,0))</f>
        <v>-</v>
      </c>
      <c r="H166" s="9" t="str">
        <f>IF(OR(E166="",E166="F",F166="DQ",F166="DNF",F166="DNS",F166=""),"-",VLOOKUP(C166,'FERDİ SONUÇ'!$B$6:$H$862,7,0))</f>
        <v>-</v>
      </c>
      <c r="I166" s="11" t="str">
        <f>IF(ISERROR(SMALL(H166:H169,1)),"-",SMALL(H166:H169,1))</f>
        <v>-</v>
      </c>
      <c r="J166" s="12"/>
      <c r="BA166" s="2">
        <v>1240</v>
      </c>
      <c r="BB166" s="50"/>
    </row>
    <row r="167" spans="1:54" ht="15" customHeight="1">
      <c r="A167" s="13"/>
      <c r="B167" s="14"/>
      <c r="C167" s="141"/>
      <c r="D167" s="15">
        <f>IF(ISERROR(VLOOKUP($C167,'START LİSTE'!$B$6:$F$1027,2,0)),"",VLOOKUP($C167,'START LİSTE'!$B$6:$F$1027,2,0))</f>
      </c>
      <c r="E167" s="16">
        <f>IF(ISERROR(VLOOKUP($C167,'START LİSTE'!$B$6:$F$1027,4,0)),"",VLOOKUP($C167,'START LİSTE'!$B$6:$F$1027,4,0))</f>
      </c>
      <c r="F167" s="108">
        <f>IF(ISERROR(VLOOKUP($C167,'FERDİ SONUÇ'!$B$6:$H$862,6,0)),"",VLOOKUP($C167,'FERDİ SONUÇ'!$B$6:$H$862,6,0))</f>
      </c>
      <c r="G167" s="16" t="str">
        <f>IF(OR(E167="",F167="DQ",F167="DNF",F167="DNS",F167=""),"-",VLOOKUP(C167,'FERDİ SONUÇ'!$B$6:$H$862,7,0))</f>
        <v>-</v>
      </c>
      <c r="H167" s="16" t="str">
        <f>IF(OR(E167="",E167="F",F167="DQ",F167="DNF",F167="DNS",F167=""),"-",VLOOKUP(C167,'FERDİ SONUÇ'!$B$6:$H$862,7,0))</f>
        <v>-</v>
      </c>
      <c r="I167" s="18" t="str">
        <f>IF(ISERROR(SMALL(H166:H169,2)),"-",SMALL(H166:H169,2))</f>
        <v>-</v>
      </c>
      <c r="J167" s="19"/>
      <c r="BA167" s="2">
        <v>1241</v>
      </c>
      <c r="BB167" s="51"/>
    </row>
    <row r="168" spans="1:54" ht="15" customHeight="1">
      <c r="A168" s="30">
        <f>IF(AND(B168&lt;&gt;"",J168&lt;&gt;"DQ"),COUNT(J$6:J$245)-(RANK(J168,J$6:J$245)+COUNTIF(J$6:J168,J168))+2,IF(C166&lt;&gt;"",BA168,""))</f>
      </c>
      <c r="B168" s="14">
        <f>IF(ISERROR(VLOOKUP(C166,'START LİSTE'!$B$6:$F$1027,3,0)),"",VLOOKUP(C166,'START LİSTE'!$B$6:$F$1027,3,0))</f>
      </c>
      <c r="C168" s="141"/>
      <c r="D168" s="15">
        <f>IF(ISERROR(VLOOKUP($C168,'START LİSTE'!$B$6:$F$1027,2,0)),"",VLOOKUP($C168,'START LİSTE'!$B$6:$F$1027,2,0))</f>
      </c>
      <c r="E168" s="16">
        <f>IF(ISERROR(VLOOKUP($C168,'START LİSTE'!$B$6:$F$1027,4,0)),"",VLOOKUP($C168,'START LİSTE'!$B$6:$F$1027,4,0))</f>
      </c>
      <c r="F168" s="108">
        <f>IF(ISERROR(VLOOKUP($C168,'FERDİ SONUÇ'!$B$6:$H$862,6,0)),"",VLOOKUP($C168,'FERDİ SONUÇ'!$B$6:$H$862,6,0))</f>
      </c>
      <c r="G168" s="16" t="str">
        <f>IF(OR(E168="",F168="DQ",F168="DNF",F168="DNS",F168=""),"-",VLOOKUP(C168,'FERDİ SONUÇ'!$B$6:$H$862,7,0))</f>
        <v>-</v>
      </c>
      <c r="H168" s="16" t="str">
        <f>IF(OR(E168="",E168="F",F168="DQ",F168="DNF",F168="DNS",F168=""),"-",VLOOKUP(C168,'FERDİ SONUÇ'!$B$6:$H$862,7,0))</f>
        <v>-</v>
      </c>
      <c r="I168" s="18" t="str">
        <f>IF(ISERROR(SMALL(H166:H169,3)),"-",SMALL(H166:H169,3))</f>
        <v>-</v>
      </c>
      <c r="J168" s="20">
        <f>IF(C166="","",IF(OR(I166="-",I167="-",I168="-"),"DQ",SUM(I166,I167,I168)))</f>
      </c>
      <c r="BA168" s="2">
        <v>1242</v>
      </c>
      <c r="BB168" s="51"/>
    </row>
    <row r="169" spans="1:54" ht="15" customHeight="1">
      <c r="A169" s="13"/>
      <c r="B169" s="14"/>
      <c r="C169" s="141"/>
      <c r="D169" s="15">
        <f>IF(ISERROR(VLOOKUP($C169,'START LİSTE'!$B$6:$F$1027,2,0)),"",VLOOKUP($C169,'START LİSTE'!$B$6:$F$1027,2,0))</f>
      </c>
      <c r="E169" s="16">
        <f>IF(ISERROR(VLOOKUP($C169,'START LİSTE'!$B$6:$F$1027,4,0)),"",VLOOKUP($C169,'START LİSTE'!$B$6:$F$1027,4,0))</f>
      </c>
      <c r="F169" s="108">
        <f>IF(ISERROR(VLOOKUP($C169,'FERDİ SONUÇ'!$B$6:$H$862,6,0)),"",VLOOKUP($C169,'FERDİ SONUÇ'!$B$6:$H$862,6,0))</f>
      </c>
      <c r="G169" s="16" t="str">
        <f>IF(OR(E169="",F169="DQ",F169="DNF",F169="DNS",F169=""),"-",VLOOKUP(C169,'FERDİ SONUÇ'!$B$6:$H$862,7,0))</f>
        <v>-</v>
      </c>
      <c r="H169" s="16" t="str">
        <f>IF(OR(E169="",E169="F",F169="DQ",F169="DNF",F169="DNS",F169=""),"-",VLOOKUP(C169,'FERDİ SONUÇ'!$B$6:$H$862,7,0))</f>
        <v>-</v>
      </c>
      <c r="I169" s="18" t="str">
        <f>IF(ISERROR(SMALL(H166:H169,4)),"-",SMALL(H166:H169,4))</f>
        <v>-</v>
      </c>
      <c r="J169" s="19"/>
      <c r="BA169" s="2">
        <v>1243</v>
      </c>
      <c r="BB169" s="52"/>
    </row>
    <row r="170" spans="1:54" ht="15" customHeight="1">
      <c r="A170" s="6"/>
      <c r="B170" s="7"/>
      <c r="C170" s="140"/>
      <c r="D170" s="8">
        <f>IF(ISERROR(VLOOKUP($C170,'START LİSTE'!$B$6:$F$1027,2,0)),"",VLOOKUP($C170,'START LİSTE'!$B$6:$F$1027,2,0))</f>
      </c>
      <c r="E170" s="9">
        <f>IF(ISERROR(VLOOKUP($C170,'START LİSTE'!$B$6:$F$1027,4,0)),"",VLOOKUP($C170,'START LİSTE'!$B$6:$F$1027,4,0))</f>
      </c>
      <c r="F170" s="107">
        <f>IF(ISERROR(VLOOKUP($C170,'FERDİ SONUÇ'!$B$6:$H$862,6,0)),"",VLOOKUP($C170,'FERDİ SONUÇ'!$B$6:$H$862,6,0))</f>
      </c>
      <c r="G170" s="9" t="str">
        <f>IF(OR(E170="",F170="DQ",F170="DNF",F170="DNS",F170=""),"-",VLOOKUP(C170,'FERDİ SONUÇ'!$B$6:$H$862,7,0))</f>
        <v>-</v>
      </c>
      <c r="H170" s="9" t="str">
        <f>IF(OR(E170="",E170="F",F170="DQ",F170="DNF",F170="DNS",F170=""),"-",VLOOKUP(C170,'FERDİ SONUÇ'!$B$6:$H$862,7,0))</f>
        <v>-</v>
      </c>
      <c r="I170" s="11" t="str">
        <f>IF(ISERROR(SMALL(H170:H173,1)),"-",SMALL(H170:H173,1))</f>
        <v>-</v>
      </c>
      <c r="J170" s="12"/>
      <c r="BA170" s="2">
        <v>1246</v>
      </c>
      <c r="BB170" s="50"/>
    </row>
    <row r="171" spans="1:54" ht="15" customHeight="1">
      <c r="A171" s="13"/>
      <c r="B171" s="14"/>
      <c r="C171" s="141"/>
      <c r="D171" s="15">
        <f>IF(ISERROR(VLOOKUP($C171,'START LİSTE'!$B$6:$F$1027,2,0)),"",VLOOKUP($C171,'START LİSTE'!$B$6:$F$1027,2,0))</f>
      </c>
      <c r="E171" s="16">
        <f>IF(ISERROR(VLOOKUP($C171,'START LİSTE'!$B$6:$F$1027,4,0)),"",VLOOKUP($C171,'START LİSTE'!$B$6:$F$1027,4,0))</f>
      </c>
      <c r="F171" s="108">
        <f>IF(ISERROR(VLOOKUP($C171,'FERDİ SONUÇ'!$B$6:$H$862,6,0)),"",VLOOKUP($C171,'FERDİ SONUÇ'!$B$6:$H$862,6,0))</f>
      </c>
      <c r="G171" s="16" t="str">
        <f>IF(OR(E171="",F171="DQ",F171="DNF",F171="DNS",F171=""),"-",VLOOKUP(C171,'FERDİ SONUÇ'!$B$6:$H$862,7,0))</f>
        <v>-</v>
      </c>
      <c r="H171" s="16" t="str">
        <f>IF(OR(E171="",E171="F",F171="DQ",F171="DNF",F171="DNS",F171=""),"-",VLOOKUP(C171,'FERDİ SONUÇ'!$B$6:$H$862,7,0))</f>
        <v>-</v>
      </c>
      <c r="I171" s="18" t="str">
        <f>IF(ISERROR(SMALL(H170:H173,2)),"-",SMALL(H170:H173,2))</f>
        <v>-</v>
      </c>
      <c r="J171" s="19"/>
      <c r="BA171" s="2">
        <v>1247</v>
      </c>
      <c r="BB171" s="51"/>
    </row>
    <row r="172" spans="1:54" ht="15" customHeight="1">
      <c r="A172" s="30">
        <f>IF(AND(B172&lt;&gt;"",J172&lt;&gt;"DQ"),COUNT(J$6:J$245)-(RANK(J172,J$6:J$245)+COUNTIF(J$6:J172,J172))+2,IF(C170&lt;&gt;"",BA172,""))</f>
      </c>
      <c r="B172" s="14">
        <f>IF(ISERROR(VLOOKUP(C170,'START LİSTE'!$B$6:$F$1027,3,0)),"",VLOOKUP(C170,'START LİSTE'!$B$6:$F$1027,3,0))</f>
      </c>
      <c r="C172" s="141"/>
      <c r="D172" s="15">
        <f>IF(ISERROR(VLOOKUP($C172,'START LİSTE'!$B$6:$F$1027,2,0)),"",VLOOKUP($C172,'START LİSTE'!$B$6:$F$1027,2,0))</f>
      </c>
      <c r="E172" s="16">
        <f>IF(ISERROR(VLOOKUP($C172,'START LİSTE'!$B$6:$F$1027,4,0)),"",VLOOKUP($C172,'START LİSTE'!$B$6:$F$1027,4,0))</f>
      </c>
      <c r="F172" s="108">
        <f>IF(ISERROR(VLOOKUP($C172,'FERDİ SONUÇ'!$B$6:$H$862,6,0)),"",VLOOKUP($C172,'FERDİ SONUÇ'!$B$6:$H$862,6,0))</f>
      </c>
      <c r="G172" s="16" t="str">
        <f>IF(OR(E172="",F172="DQ",F172="DNF",F172="DNS",F172=""),"-",VLOOKUP(C172,'FERDİ SONUÇ'!$B$6:$H$862,7,0))</f>
        <v>-</v>
      </c>
      <c r="H172" s="16" t="str">
        <f>IF(OR(E172="",E172="F",F172="DQ",F172="DNF",F172="DNS",F172=""),"-",VLOOKUP(C172,'FERDİ SONUÇ'!$B$6:$H$862,7,0))</f>
        <v>-</v>
      </c>
      <c r="I172" s="18" t="str">
        <f>IF(ISERROR(SMALL(H170:H173,3)),"-",SMALL(H170:H173,3))</f>
        <v>-</v>
      </c>
      <c r="J172" s="20">
        <f>IF(C170="","",IF(OR(I170="-",I171="-",I172="-"),"DQ",SUM(I170,I171,I172)))</f>
      </c>
      <c r="BA172" s="2">
        <v>1248</v>
      </c>
      <c r="BB172" s="51"/>
    </row>
    <row r="173" spans="1:54" ht="15" customHeight="1">
      <c r="A173" s="13"/>
      <c r="B173" s="14"/>
      <c r="C173" s="141"/>
      <c r="D173" s="15">
        <f>IF(ISERROR(VLOOKUP($C173,'START LİSTE'!$B$6:$F$1027,2,0)),"",VLOOKUP($C173,'START LİSTE'!$B$6:$F$1027,2,0))</f>
      </c>
      <c r="E173" s="16">
        <f>IF(ISERROR(VLOOKUP($C173,'START LİSTE'!$B$6:$F$1027,4,0)),"",VLOOKUP($C173,'START LİSTE'!$B$6:$F$1027,4,0))</f>
      </c>
      <c r="F173" s="108">
        <f>IF(ISERROR(VLOOKUP($C173,'FERDİ SONUÇ'!$B$6:$H$862,6,0)),"",VLOOKUP($C173,'FERDİ SONUÇ'!$B$6:$H$862,6,0))</f>
      </c>
      <c r="G173" s="16" t="str">
        <f>IF(OR(E173="",F173="DQ",F173="DNF",F173="DNS",F173=""),"-",VLOOKUP(C173,'FERDİ SONUÇ'!$B$6:$H$862,7,0))</f>
        <v>-</v>
      </c>
      <c r="H173" s="16" t="str">
        <f>IF(OR(E173="",E173="F",F173="DQ",F173="DNF",F173="DNS",F173=""),"-",VLOOKUP(C173,'FERDİ SONUÇ'!$B$6:$H$862,7,0))</f>
        <v>-</v>
      </c>
      <c r="I173" s="18" t="str">
        <f>IF(ISERROR(SMALL(H170:H173,4)),"-",SMALL(H170:H173,4))</f>
        <v>-</v>
      </c>
      <c r="J173" s="19"/>
      <c r="BA173" s="2">
        <v>1249</v>
      </c>
      <c r="BB173" s="52"/>
    </row>
    <row r="174" spans="1:54" ht="15" customHeight="1">
      <c r="A174" s="6"/>
      <c r="B174" s="7"/>
      <c r="C174" s="140"/>
      <c r="D174" s="8">
        <f>IF(ISERROR(VLOOKUP($C174,'START LİSTE'!$B$6:$F$1027,2,0)),"",VLOOKUP($C174,'START LİSTE'!$B$6:$F$1027,2,0))</f>
      </c>
      <c r="E174" s="9">
        <f>IF(ISERROR(VLOOKUP($C174,'START LİSTE'!$B$6:$F$1027,4,0)),"",VLOOKUP($C174,'START LİSTE'!$B$6:$F$1027,4,0))</f>
      </c>
      <c r="F174" s="107">
        <f>IF(ISERROR(VLOOKUP($C174,'FERDİ SONUÇ'!$B$6:$H$862,6,0)),"",VLOOKUP($C174,'FERDİ SONUÇ'!$B$6:$H$862,6,0))</f>
      </c>
      <c r="G174" s="9" t="str">
        <f>IF(OR(E174="",F174="DQ",F174="DNF",F174="DNS",F174=""),"-",VLOOKUP(C174,'FERDİ SONUÇ'!$B$6:$H$862,7,0))</f>
        <v>-</v>
      </c>
      <c r="H174" s="9" t="str">
        <f>IF(OR(E174="",E174="F",F174="DQ",F174="DNF",F174="DNS",F174=""),"-",VLOOKUP(C174,'FERDİ SONUÇ'!$B$6:$H$862,7,0))</f>
        <v>-</v>
      </c>
      <c r="I174" s="11" t="str">
        <f>IF(ISERROR(SMALL(H174:H177,1)),"-",SMALL(H174:H177,1))</f>
        <v>-</v>
      </c>
      <c r="J174" s="12"/>
      <c r="BA174" s="2">
        <v>1252</v>
      </c>
      <c r="BB174" s="50"/>
    </row>
    <row r="175" spans="1:54" ht="15" customHeight="1">
      <c r="A175" s="13"/>
      <c r="B175" s="14"/>
      <c r="C175" s="141"/>
      <c r="D175" s="15">
        <f>IF(ISERROR(VLOOKUP($C175,'START LİSTE'!$B$6:$F$1027,2,0)),"",VLOOKUP($C175,'START LİSTE'!$B$6:$F$1027,2,0))</f>
      </c>
      <c r="E175" s="16">
        <f>IF(ISERROR(VLOOKUP($C175,'START LİSTE'!$B$6:$F$1027,4,0)),"",VLOOKUP($C175,'START LİSTE'!$B$6:$F$1027,4,0))</f>
      </c>
      <c r="F175" s="108">
        <f>IF(ISERROR(VLOOKUP($C175,'FERDİ SONUÇ'!$B$6:$H$862,6,0)),"",VLOOKUP($C175,'FERDİ SONUÇ'!$B$6:$H$862,6,0))</f>
      </c>
      <c r="G175" s="16" t="str">
        <f>IF(OR(E175="",F175="DQ",F175="DNF",F175="DNS",F175=""),"-",VLOOKUP(C175,'FERDİ SONUÇ'!$B$6:$H$862,7,0))</f>
        <v>-</v>
      </c>
      <c r="H175" s="16" t="str">
        <f>IF(OR(E175="",E175="F",F175="DQ",F175="DNF",F175="DNS",F175=""),"-",VLOOKUP(C175,'FERDİ SONUÇ'!$B$6:$H$862,7,0))</f>
        <v>-</v>
      </c>
      <c r="I175" s="18" t="str">
        <f>IF(ISERROR(SMALL(H174:H177,2)),"-",SMALL(H174:H177,2))</f>
        <v>-</v>
      </c>
      <c r="J175" s="19"/>
      <c r="BA175" s="2">
        <v>1253</v>
      </c>
      <c r="BB175" s="51"/>
    </row>
    <row r="176" spans="1:54" ht="15" customHeight="1">
      <c r="A176" s="30">
        <f>IF(AND(B176&lt;&gt;"",J176&lt;&gt;"DQ"),COUNT(J$6:J$245)-(RANK(J176,J$6:J$245)+COUNTIF(J$6:J176,J176))+2,IF(C174&lt;&gt;"",BA176,""))</f>
      </c>
      <c r="B176" s="14">
        <f>IF(ISERROR(VLOOKUP(C174,'START LİSTE'!$B$6:$F$1027,3,0)),"",VLOOKUP(C174,'START LİSTE'!$B$6:$F$1027,3,0))</f>
      </c>
      <c r="C176" s="141"/>
      <c r="D176" s="15">
        <f>IF(ISERROR(VLOOKUP($C176,'START LİSTE'!$B$6:$F$1027,2,0)),"",VLOOKUP($C176,'START LİSTE'!$B$6:$F$1027,2,0))</f>
      </c>
      <c r="E176" s="16">
        <f>IF(ISERROR(VLOOKUP($C176,'START LİSTE'!$B$6:$F$1027,4,0)),"",VLOOKUP($C176,'START LİSTE'!$B$6:$F$1027,4,0))</f>
      </c>
      <c r="F176" s="108">
        <f>IF(ISERROR(VLOOKUP($C176,'FERDİ SONUÇ'!$B$6:$H$862,6,0)),"",VLOOKUP($C176,'FERDİ SONUÇ'!$B$6:$H$862,6,0))</f>
      </c>
      <c r="G176" s="16" t="str">
        <f>IF(OR(E176="",F176="DQ",F176="DNF",F176="DNS",F176=""),"-",VLOOKUP(C176,'FERDİ SONUÇ'!$B$6:$H$862,7,0))</f>
        <v>-</v>
      </c>
      <c r="H176" s="16" t="str">
        <f>IF(OR(E176="",E176="F",F176="DQ",F176="DNF",F176="DNS",F176=""),"-",VLOOKUP(C176,'FERDİ SONUÇ'!$B$6:$H$862,7,0))</f>
        <v>-</v>
      </c>
      <c r="I176" s="18" t="str">
        <f>IF(ISERROR(SMALL(H174:H177,3)),"-",SMALL(H174:H177,3))</f>
        <v>-</v>
      </c>
      <c r="J176" s="20">
        <f>IF(C174="","",IF(OR(I174="-",I175="-",I176="-"),"DQ",SUM(I174,I175,I176)))</f>
      </c>
      <c r="BA176" s="2">
        <v>1254</v>
      </c>
      <c r="BB176" s="51"/>
    </row>
    <row r="177" spans="1:54" ht="15" customHeight="1">
      <c r="A177" s="13"/>
      <c r="B177" s="14"/>
      <c r="C177" s="141"/>
      <c r="D177" s="15">
        <f>IF(ISERROR(VLOOKUP($C177,'START LİSTE'!$B$6:$F$1027,2,0)),"",VLOOKUP($C177,'START LİSTE'!$B$6:$F$1027,2,0))</f>
      </c>
      <c r="E177" s="16">
        <f>IF(ISERROR(VLOOKUP($C177,'START LİSTE'!$B$6:$F$1027,4,0)),"",VLOOKUP($C177,'START LİSTE'!$B$6:$F$1027,4,0))</f>
      </c>
      <c r="F177" s="108">
        <f>IF(ISERROR(VLOOKUP($C177,'FERDİ SONUÇ'!$B$6:$H$862,6,0)),"",VLOOKUP($C177,'FERDİ SONUÇ'!$B$6:$H$862,6,0))</f>
      </c>
      <c r="G177" s="16" t="str">
        <f>IF(OR(E177="",F177="DQ",F177="DNF",F177="DNS",F177=""),"-",VLOOKUP(C177,'FERDİ SONUÇ'!$B$6:$H$862,7,0))</f>
        <v>-</v>
      </c>
      <c r="H177" s="16" t="str">
        <f>IF(OR(E177="",E177="F",F177="DQ",F177="DNF",F177="DNS",F177=""),"-",VLOOKUP(C177,'FERDİ SONUÇ'!$B$6:$H$862,7,0))</f>
        <v>-</v>
      </c>
      <c r="I177" s="18" t="str">
        <f>IF(ISERROR(SMALL(H174:H177,4)),"-",SMALL(H174:H177,4))</f>
        <v>-</v>
      </c>
      <c r="J177" s="19"/>
      <c r="BA177" s="2">
        <v>1255</v>
      </c>
      <c r="BB177" s="52"/>
    </row>
    <row r="178" spans="1:54" ht="15" customHeight="1">
      <c r="A178" s="6"/>
      <c r="B178" s="7"/>
      <c r="C178" s="140"/>
      <c r="D178" s="8">
        <f>IF(ISERROR(VLOOKUP($C178,'START LİSTE'!$B$6:$F$1027,2,0)),"",VLOOKUP($C178,'START LİSTE'!$B$6:$F$1027,2,0))</f>
      </c>
      <c r="E178" s="9">
        <f>IF(ISERROR(VLOOKUP($C178,'START LİSTE'!$B$6:$F$1027,4,0)),"",VLOOKUP($C178,'START LİSTE'!$B$6:$F$1027,4,0))</f>
      </c>
      <c r="F178" s="107">
        <f>IF(ISERROR(VLOOKUP($C178,'FERDİ SONUÇ'!$B$6:$H$862,6,0)),"",VLOOKUP($C178,'FERDİ SONUÇ'!$B$6:$H$862,6,0))</f>
      </c>
      <c r="G178" s="9" t="str">
        <f>IF(OR(E178="",F178="DQ",F178="DNF",F178="DNS",F178=""),"-",VLOOKUP(C178,'FERDİ SONUÇ'!$B$6:$H$862,7,0))</f>
        <v>-</v>
      </c>
      <c r="H178" s="9" t="str">
        <f>IF(OR(E178="",E178="F",F178="DQ",F178="DNF",F178="DNS",F178=""),"-",VLOOKUP(C178,'FERDİ SONUÇ'!$B$6:$H$862,7,0))</f>
        <v>-</v>
      </c>
      <c r="I178" s="11" t="str">
        <f>IF(ISERROR(SMALL(H178:H181,1)),"-",SMALL(H178:H181,1))</f>
        <v>-</v>
      </c>
      <c r="J178" s="12"/>
      <c r="BA178" s="2">
        <v>1258</v>
      </c>
      <c r="BB178" s="50"/>
    </row>
    <row r="179" spans="1:54" ht="15" customHeight="1">
      <c r="A179" s="13"/>
      <c r="B179" s="14"/>
      <c r="C179" s="141"/>
      <c r="D179" s="15">
        <f>IF(ISERROR(VLOOKUP($C179,'START LİSTE'!$B$6:$F$1027,2,0)),"",VLOOKUP($C179,'START LİSTE'!$B$6:$F$1027,2,0))</f>
      </c>
      <c r="E179" s="16">
        <f>IF(ISERROR(VLOOKUP($C179,'START LİSTE'!$B$6:$F$1027,4,0)),"",VLOOKUP($C179,'START LİSTE'!$B$6:$F$1027,4,0))</f>
      </c>
      <c r="F179" s="108">
        <f>IF(ISERROR(VLOOKUP($C179,'FERDİ SONUÇ'!$B$6:$H$862,6,0)),"",VLOOKUP($C179,'FERDİ SONUÇ'!$B$6:$H$862,6,0))</f>
      </c>
      <c r="G179" s="16" t="str">
        <f>IF(OR(E179="",F179="DQ",F179="DNF",F179="DNS",F179=""),"-",VLOOKUP(C179,'FERDİ SONUÇ'!$B$6:$H$862,7,0))</f>
        <v>-</v>
      </c>
      <c r="H179" s="16" t="str">
        <f>IF(OR(E179="",E179="F",F179="DQ",F179="DNF",F179="DNS",F179=""),"-",VLOOKUP(C179,'FERDİ SONUÇ'!$B$6:$H$862,7,0))</f>
        <v>-</v>
      </c>
      <c r="I179" s="18" t="str">
        <f>IF(ISERROR(SMALL(H178:H181,2)),"-",SMALL(H178:H181,2))</f>
        <v>-</v>
      </c>
      <c r="J179" s="19"/>
      <c r="BA179" s="2">
        <v>1259</v>
      </c>
      <c r="BB179" s="51"/>
    </row>
    <row r="180" spans="1:54" ht="15" customHeight="1">
      <c r="A180" s="30">
        <f>IF(AND(B180&lt;&gt;"",J180&lt;&gt;"DQ"),COUNT(J$6:J$245)-(RANK(J180,J$6:J$245)+COUNTIF(J$6:J180,J180))+2,IF(C178&lt;&gt;"",BA180,""))</f>
      </c>
      <c r="B180" s="14">
        <f>IF(ISERROR(VLOOKUP(C178,'START LİSTE'!$B$6:$F$1027,3,0)),"",VLOOKUP(C178,'START LİSTE'!$B$6:$F$1027,3,0))</f>
      </c>
      <c r="C180" s="141"/>
      <c r="D180" s="15">
        <f>IF(ISERROR(VLOOKUP($C180,'START LİSTE'!$B$6:$F$1027,2,0)),"",VLOOKUP($C180,'START LİSTE'!$B$6:$F$1027,2,0))</f>
      </c>
      <c r="E180" s="16">
        <f>IF(ISERROR(VLOOKUP($C180,'START LİSTE'!$B$6:$F$1027,4,0)),"",VLOOKUP($C180,'START LİSTE'!$B$6:$F$1027,4,0))</f>
      </c>
      <c r="F180" s="108">
        <f>IF(ISERROR(VLOOKUP($C180,'FERDİ SONUÇ'!$B$6:$H$862,6,0)),"",VLOOKUP($C180,'FERDİ SONUÇ'!$B$6:$H$862,6,0))</f>
      </c>
      <c r="G180" s="16" t="str">
        <f>IF(OR(E180="",F180="DQ",F180="DNF",F180="DNS",F180=""),"-",VLOOKUP(C180,'FERDİ SONUÇ'!$B$6:$H$862,7,0))</f>
        <v>-</v>
      </c>
      <c r="H180" s="16" t="str">
        <f>IF(OR(E180="",E180="F",F180="DQ",F180="DNF",F180="DNS",F180=""),"-",VLOOKUP(C180,'FERDİ SONUÇ'!$B$6:$H$862,7,0))</f>
        <v>-</v>
      </c>
      <c r="I180" s="18" t="str">
        <f>IF(ISERROR(SMALL(H178:H181,3)),"-",SMALL(H178:H181,3))</f>
        <v>-</v>
      </c>
      <c r="J180" s="20">
        <f>IF(C178="","",IF(OR(I178="-",I179="-",I180="-"),"DQ",SUM(I178,I179,I180)))</f>
      </c>
      <c r="BA180" s="2">
        <v>1260</v>
      </c>
      <c r="BB180" s="51"/>
    </row>
    <row r="181" spans="1:54" ht="15" customHeight="1">
      <c r="A181" s="13"/>
      <c r="B181" s="14"/>
      <c r="C181" s="141"/>
      <c r="D181" s="15">
        <f>IF(ISERROR(VLOOKUP($C181,'START LİSTE'!$B$6:$F$1027,2,0)),"",VLOOKUP($C181,'START LİSTE'!$B$6:$F$1027,2,0))</f>
      </c>
      <c r="E181" s="16">
        <f>IF(ISERROR(VLOOKUP($C181,'START LİSTE'!$B$6:$F$1027,4,0)),"",VLOOKUP($C181,'START LİSTE'!$B$6:$F$1027,4,0))</f>
      </c>
      <c r="F181" s="108">
        <f>IF(ISERROR(VLOOKUP($C181,'FERDİ SONUÇ'!$B$6:$H$862,6,0)),"",VLOOKUP($C181,'FERDİ SONUÇ'!$B$6:$H$862,6,0))</f>
      </c>
      <c r="G181" s="16" t="str">
        <f>IF(OR(E181="",F181="DQ",F181="DNF",F181="DNS",F181=""),"-",VLOOKUP(C181,'FERDİ SONUÇ'!$B$6:$H$862,7,0))</f>
        <v>-</v>
      </c>
      <c r="H181" s="16" t="str">
        <f>IF(OR(E181="",E181="F",F181="DQ",F181="DNF",F181="DNS",F181=""),"-",VLOOKUP(C181,'FERDİ SONUÇ'!$B$6:$H$862,7,0))</f>
        <v>-</v>
      </c>
      <c r="I181" s="18" t="str">
        <f>IF(ISERROR(SMALL(H178:H181,4)),"-",SMALL(H178:H181,4))</f>
        <v>-</v>
      </c>
      <c r="J181" s="19"/>
      <c r="BA181" s="2">
        <v>1261</v>
      </c>
      <c r="BB181" s="52"/>
    </row>
    <row r="182" spans="1:54" ht="15" customHeight="1">
      <c r="A182" s="6"/>
      <c r="B182" s="7"/>
      <c r="C182" s="140"/>
      <c r="D182" s="8">
        <f>IF(ISERROR(VLOOKUP($C182,'START LİSTE'!$B$6:$F$1027,2,0)),"",VLOOKUP($C182,'START LİSTE'!$B$6:$F$1027,2,0))</f>
      </c>
      <c r="E182" s="9">
        <f>IF(ISERROR(VLOOKUP($C182,'START LİSTE'!$B$6:$F$1027,4,0)),"",VLOOKUP($C182,'START LİSTE'!$B$6:$F$1027,4,0))</f>
      </c>
      <c r="F182" s="107">
        <f>IF(ISERROR(VLOOKUP($C182,'FERDİ SONUÇ'!$B$6:$H$862,6,0)),"",VLOOKUP($C182,'FERDİ SONUÇ'!$B$6:$H$862,6,0))</f>
      </c>
      <c r="G182" s="9" t="str">
        <f>IF(OR(E182="",F182="DQ",F182="DNF",F182="DNS",F182=""),"-",VLOOKUP(C182,'FERDİ SONUÇ'!$B$6:$H$862,7,0))</f>
        <v>-</v>
      </c>
      <c r="H182" s="9" t="str">
        <f>IF(OR(E182="",E182="F",F182="DQ",F182="DNF",F182="DNS",F182=""),"-",VLOOKUP(C182,'FERDİ SONUÇ'!$B$6:$H$862,7,0))</f>
        <v>-</v>
      </c>
      <c r="I182" s="11" t="str">
        <f>IF(ISERROR(SMALL(H182:H185,1)),"-",SMALL(H182:H185,1))</f>
        <v>-</v>
      </c>
      <c r="J182" s="12"/>
      <c r="BA182" s="2">
        <v>1264</v>
      </c>
      <c r="BB182" s="50"/>
    </row>
    <row r="183" spans="1:54" ht="15" customHeight="1">
      <c r="A183" s="13"/>
      <c r="B183" s="14"/>
      <c r="C183" s="141"/>
      <c r="D183" s="15">
        <f>IF(ISERROR(VLOOKUP($C183,'START LİSTE'!$B$6:$F$1027,2,0)),"",VLOOKUP($C183,'START LİSTE'!$B$6:$F$1027,2,0))</f>
      </c>
      <c r="E183" s="16">
        <f>IF(ISERROR(VLOOKUP($C183,'START LİSTE'!$B$6:$F$1027,4,0)),"",VLOOKUP($C183,'START LİSTE'!$B$6:$F$1027,4,0))</f>
      </c>
      <c r="F183" s="108">
        <f>IF(ISERROR(VLOOKUP($C183,'FERDİ SONUÇ'!$B$6:$H$862,6,0)),"",VLOOKUP($C183,'FERDİ SONUÇ'!$B$6:$H$862,6,0))</f>
      </c>
      <c r="G183" s="16" t="str">
        <f>IF(OR(E183="",F183="DQ",F183="DNF",F183="DNS",F183=""),"-",VLOOKUP(C183,'FERDİ SONUÇ'!$B$6:$H$862,7,0))</f>
        <v>-</v>
      </c>
      <c r="H183" s="16" t="str">
        <f>IF(OR(E183="",E183="F",F183="DQ",F183="DNF",F183="DNS",F183=""),"-",VLOOKUP(C183,'FERDİ SONUÇ'!$B$6:$H$862,7,0))</f>
        <v>-</v>
      </c>
      <c r="I183" s="18" t="str">
        <f>IF(ISERROR(SMALL(H182:H185,2)),"-",SMALL(H182:H185,2))</f>
        <v>-</v>
      </c>
      <c r="J183" s="19"/>
      <c r="BA183" s="2">
        <v>1265</v>
      </c>
      <c r="BB183" s="51"/>
    </row>
    <row r="184" spans="1:54" ht="15" customHeight="1">
      <c r="A184" s="30">
        <f>IF(AND(B184&lt;&gt;"",J184&lt;&gt;"DQ"),COUNT(J$6:J$245)-(RANK(J184,J$6:J$245)+COUNTIF(J$6:J184,J184))+2,IF(C182&lt;&gt;"",BA184,""))</f>
      </c>
      <c r="B184" s="14">
        <f>IF(ISERROR(VLOOKUP(C182,'START LİSTE'!$B$6:$F$1027,3,0)),"",VLOOKUP(C182,'START LİSTE'!$B$6:$F$1027,3,0))</f>
      </c>
      <c r="C184" s="141"/>
      <c r="D184" s="15">
        <f>IF(ISERROR(VLOOKUP($C184,'START LİSTE'!$B$6:$F$1027,2,0)),"",VLOOKUP($C184,'START LİSTE'!$B$6:$F$1027,2,0))</f>
      </c>
      <c r="E184" s="16">
        <f>IF(ISERROR(VLOOKUP($C184,'START LİSTE'!$B$6:$F$1027,4,0)),"",VLOOKUP($C184,'START LİSTE'!$B$6:$F$1027,4,0))</f>
      </c>
      <c r="F184" s="108">
        <f>IF(ISERROR(VLOOKUP($C184,'FERDİ SONUÇ'!$B$6:$H$862,6,0)),"",VLOOKUP($C184,'FERDİ SONUÇ'!$B$6:$H$862,6,0))</f>
      </c>
      <c r="G184" s="16" t="str">
        <f>IF(OR(E184="",F184="DQ",F184="DNF",F184="DNS",F184=""),"-",VLOOKUP(C184,'FERDİ SONUÇ'!$B$6:$H$862,7,0))</f>
        <v>-</v>
      </c>
      <c r="H184" s="16" t="str">
        <f>IF(OR(E184="",E184="F",F184="DQ",F184="DNF",F184="DNS",F184=""),"-",VLOOKUP(C184,'FERDİ SONUÇ'!$B$6:$H$862,7,0))</f>
        <v>-</v>
      </c>
      <c r="I184" s="18" t="str">
        <f>IF(ISERROR(SMALL(H182:H185,3)),"-",SMALL(H182:H185,3))</f>
        <v>-</v>
      </c>
      <c r="J184" s="20">
        <f>IF(C182="","",IF(OR(I182="-",I183="-",I184="-"),"DQ",SUM(I182,I183,I184)))</f>
      </c>
      <c r="BA184" s="2">
        <v>1266</v>
      </c>
      <c r="BB184" s="51"/>
    </row>
    <row r="185" spans="1:54" ht="15" customHeight="1">
      <c r="A185" s="13"/>
      <c r="B185" s="14"/>
      <c r="C185" s="141"/>
      <c r="D185" s="15">
        <f>IF(ISERROR(VLOOKUP($C185,'START LİSTE'!$B$6:$F$1027,2,0)),"",VLOOKUP($C185,'START LİSTE'!$B$6:$F$1027,2,0))</f>
      </c>
      <c r="E185" s="16">
        <f>IF(ISERROR(VLOOKUP($C185,'START LİSTE'!$B$6:$F$1027,4,0)),"",VLOOKUP($C185,'START LİSTE'!$B$6:$F$1027,4,0))</f>
      </c>
      <c r="F185" s="108">
        <f>IF(ISERROR(VLOOKUP($C185,'FERDİ SONUÇ'!$B$6:$H$862,6,0)),"",VLOOKUP($C185,'FERDİ SONUÇ'!$B$6:$H$862,6,0))</f>
      </c>
      <c r="G185" s="16" t="str">
        <f>IF(OR(E185="",F185="DQ",F185="DNF",F185="DNS",F185=""),"-",VLOOKUP(C185,'FERDİ SONUÇ'!$B$6:$H$862,7,0))</f>
        <v>-</v>
      </c>
      <c r="H185" s="16" t="str">
        <f>IF(OR(E185="",E185="F",F185="DQ",F185="DNF",F185="DNS",F185=""),"-",VLOOKUP(C185,'FERDİ SONUÇ'!$B$6:$H$862,7,0))</f>
        <v>-</v>
      </c>
      <c r="I185" s="18" t="str">
        <f>IF(ISERROR(SMALL(H182:H185,4)),"-",SMALL(H182:H185,4))</f>
        <v>-</v>
      </c>
      <c r="J185" s="19"/>
      <c r="BA185" s="2">
        <v>1267</v>
      </c>
      <c r="BB185" s="52"/>
    </row>
    <row r="186" spans="1:54" ht="15" customHeight="1">
      <c r="A186" s="6"/>
      <c r="B186" s="7"/>
      <c r="C186" s="140"/>
      <c r="D186" s="8">
        <f>IF(ISERROR(VLOOKUP($C186,'START LİSTE'!$B$6:$F$1027,2,0)),"",VLOOKUP($C186,'START LİSTE'!$B$6:$F$1027,2,0))</f>
      </c>
      <c r="E186" s="9">
        <f>IF(ISERROR(VLOOKUP($C186,'START LİSTE'!$B$6:$F$1027,4,0)),"",VLOOKUP($C186,'START LİSTE'!$B$6:$F$1027,4,0))</f>
      </c>
      <c r="F186" s="107">
        <f>IF(ISERROR(VLOOKUP($C186,'FERDİ SONUÇ'!$B$6:$H$862,6,0)),"",VLOOKUP($C186,'FERDİ SONUÇ'!$B$6:$H$862,6,0))</f>
      </c>
      <c r="G186" s="9" t="str">
        <f>IF(OR(E186="",F186="DQ",F186="DNF",F186="DNS",F186=""),"-",VLOOKUP(C186,'FERDİ SONUÇ'!$B$6:$H$862,7,0))</f>
        <v>-</v>
      </c>
      <c r="H186" s="9" t="str">
        <f>IF(OR(E186="",E186="F",F186="DQ",F186="DNF",F186="DNS",F186=""),"-",VLOOKUP(C186,'FERDİ SONUÇ'!$B$6:$H$862,7,0))</f>
        <v>-</v>
      </c>
      <c r="I186" s="11" t="str">
        <f>IF(ISERROR(SMALL(H186:H189,1)),"-",SMALL(H186:H189,1))</f>
        <v>-</v>
      </c>
      <c r="J186" s="12"/>
      <c r="BA186" s="2">
        <v>1270</v>
      </c>
      <c r="BB186" s="50"/>
    </row>
    <row r="187" spans="1:54" ht="15" customHeight="1">
      <c r="A187" s="13"/>
      <c r="B187" s="14"/>
      <c r="C187" s="141"/>
      <c r="D187" s="15">
        <f>IF(ISERROR(VLOOKUP($C187,'START LİSTE'!$B$6:$F$1027,2,0)),"",VLOOKUP($C187,'START LİSTE'!$B$6:$F$1027,2,0))</f>
      </c>
      <c r="E187" s="16">
        <f>IF(ISERROR(VLOOKUP($C187,'START LİSTE'!$B$6:$F$1027,4,0)),"",VLOOKUP($C187,'START LİSTE'!$B$6:$F$1027,4,0))</f>
      </c>
      <c r="F187" s="108">
        <f>IF(ISERROR(VLOOKUP($C187,'FERDİ SONUÇ'!$B$6:$H$862,6,0)),"",VLOOKUP($C187,'FERDİ SONUÇ'!$B$6:$H$862,6,0))</f>
      </c>
      <c r="G187" s="16" t="str">
        <f>IF(OR(E187="",F187="DQ",F187="DNF",F187="DNS",F187=""),"-",VLOOKUP(C187,'FERDİ SONUÇ'!$B$6:$H$862,7,0))</f>
        <v>-</v>
      </c>
      <c r="H187" s="16" t="str">
        <f>IF(OR(E187="",E187="F",F187="DQ",F187="DNF",F187="DNS",F187=""),"-",VLOOKUP(C187,'FERDİ SONUÇ'!$B$6:$H$862,7,0))</f>
        <v>-</v>
      </c>
      <c r="I187" s="18" t="str">
        <f>IF(ISERROR(SMALL(H186:H189,2)),"-",SMALL(H186:H189,2))</f>
        <v>-</v>
      </c>
      <c r="J187" s="19"/>
      <c r="BA187" s="2">
        <v>1271</v>
      </c>
      <c r="BB187" s="51"/>
    </row>
    <row r="188" spans="1:54" ht="15" customHeight="1">
      <c r="A188" s="30">
        <f>IF(AND(B188&lt;&gt;"",J188&lt;&gt;"DQ"),COUNT(J$6:J$245)-(RANK(J188,J$6:J$245)+COUNTIF(J$6:J188,J188))+2,IF(C186&lt;&gt;"",BA188,""))</f>
      </c>
      <c r="B188" s="14">
        <f>IF(ISERROR(VLOOKUP(C186,'START LİSTE'!$B$6:$F$1027,3,0)),"",VLOOKUP(C186,'START LİSTE'!$B$6:$F$1027,3,0))</f>
      </c>
      <c r="C188" s="141"/>
      <c r="D188" s="15">
        <f>IF(ISERROR(VLOOKUP($C188,'START LİSTE'!$B$6:$F$1027,2,0)),"",VLOOKUP($C188,'START LİSTE'!$B$6:$F$1027,2,0))</f>
      </c>
      <c r="E188" s="16">
        <f>IF(ISERROR(VLOOKUP($C188,'START LİSTE'!$B$6:$F$1027,4,0)),"",VLOOKUP($C188,'START LİSTE'!$B$6:$F$1027,4,0))</f>
      </c>
      <c r="F188" s="108">
        <f>IF(ISERROR(VLOOKUP($C188,'FERDİ SONUÇ'!$B$6:$H$862,6,0)),"",VLOOKUP($C188,'FERDİ SONUÇ'!$B$6:$H$862,6,0))</f>
      </c>
      <c r="G188" s="16" t="str">
        <f>IF(OR(E188="",F188="DQ",F188="DNF",F188="DNS",F188=""),"-",VLOOKUP(C188,'FERDİ SONUÇ'!$B$6:$H$862,7,0))</f>
        <v>-</v>
      </c>
      <c r="H188" s="16" t="str">
        <f>IF(OR(E188="",E188="F",F188="DQ",F188="DNF",F188="DNS",F188=""),"-",VLOOKUP(C188,'FERDİ SONUÇ'!$B$6:$H$862,7,0))</f>
        <v>-</v>
      </c>
      <c r="I188" s="18" t="str">
        <f>IF(ISERROR(SMALL(H186:H189,3)),"-",SMALL(H186:H189,3))</f>
        <v>-</v>
      </c>
      <c r="J188" s="20">
        <f>IF(C186="","",IF(OR(I186="-",I187="-",I188="-"),"DQ",SUM(I186,I187,I188)))</f>
      </c>
      <c r="BA188" s="2">
        <v>1272</v>
      </c>
      <c r="BB188" s="51"/>
    </row>
    <row r="189" spans="1:54" ht="15" customHeight="1">
      <c r="A189" s="13"/>
      <c r="B189" s="14"/>
      <c r="C189" s="141"/>
      <c r="D189" s="15">
        <f>IF(ISERROR(VLOOKUP($C189,'START LİSTE'!$B$6:$F$1027,2,0)),"",VLOOKUP($C189,'START LİSTE'!$B$6:$F$1027,2,0))</f>
      </c>
      <c r="E189" s="16">
        <f>IF(ISERROR(VLOOKUP($C189,'START LİSTE'!$B$6:$F$1027,4,0)),"",VLOOKUP($C189,'START LİSTE'!$B$6:$F$1027,4,0))</f>
      </c>
      <c r="F189" s="108">
        <f>IF(ISERROR(VLOOKUP($C189,'FERDİ SONUÇ'!$B$6:$H$862,6,0)),"",VLOOKUP($C189,'FERDİ SONUÇ'!$B$6:$H$862,6,0))</f>
      </c>
      <c r="G189" s="16" t="str">
        <f>IF(OR(E189="",F189="DQ",F189="DNF",F189="DNS",F189=""),"-",VLOOKUP(C189,'FERDİ SONUÇ'!$B$6:$H$862,7,0))</f>
        <v>-</v>
      </c>
      <c r="H189" s="16" t="str">
        <f>IF(OR(E189="",E189="F",F189="DQ",F189="DNF",F189="DNS",F189=""),"-",VLOOKUP(C189,'FERDİ SONUÇ'!$B$6:$H$862,7,0))</f>
        <v>-</v>
      </c>
      <c r="I189" s="18" t="str">
        <f>IF(ISERROR(SMALL(H186:H189,4)),"-",SMALL(H186:H189,4))</f>
        <v>-</v>
      </c>
      <c r="J189" s="19"/>
      <c r="BA189" s="2">
        <v>1273</v>
      </c>
      <c r="BB189" s="52"/>
    </row>
    <row r="190" spans="1:54" ht="15" customHeight="1">
      <c r="A190" s="6"/>
      <c r="B190" s="7"/>
      <c r="C190" s="140"/>
      <c r="D190" s="8">
        <f>IF(ISERROR(VLOOKUP($C190,'START LİSTE'!$B$6:$F$1027,2,0)),"",VLOOKUP($C190,'START LİSTE'!$B$6:$F$1027,2,0))</f>
      </c>
      <c r="E190" s="9">
        <f>IF(ISERROR(VLOOKUP($C190,'START LİSTE'!$B$6:$F$1027,4,0)),"",VLOOKUP($C190,'START LİSTE'!$B$6:$F$1027,4,0))</f>
      </c>
      <c r="F190" s="107">
        <f>IF(ISERROR(VLOOKUP($C190,'FERDİ SONUÇ'!$B$6:$H$862,6,0)),"",VLOOKUP($C190,'FERDİ SONUÇ'!$B$6:$H$862,6,0))</f>
      </c>
      <c r="G190" s="9" t="str">
        <f>IF(OR(E190="",F190="DQ",F190="DNF",F190="DNS",F190=""),"-",VLOOKUP(C190,'FERDİ SONUÇ'!$B$6:$H$862,7,0))</f>
        <v>-</v>
      </c>
      <c r="H190" s="9" t="str">
        <f>IF(OR(E190="",E190="F",F190="DQ",F190="DNF",F190="DNS",F190=""),"-",VLOOKUP(C190,'FERDİ SONUÇ'!$B$6:$H$862,7,0))</f>
        <v>-</v>
      </c>
      <c r="I190" s="11" t="str">
        <f>IF(ISERROR(SMALL(H190:H193,1)),"-",SMALL(H190:H193,1))</f>
        <v>-</v>
      </c>
      <c r="J190" s="12"/>
      <c r="BA190" s="2">
        <v>1276</v>
      </c>
      <c r="BB190" s="50"/>
    </row>
    <row r="191" spans="1:54" ht="15" customHeight="1">
      <c r="A191" s="13"/>
      <c r="B191" s="14"/>
      <c r="C191" s="141"/>
      <c r="D191" s="15">
        <f>IF(ISERROR(VLOOKUP($C191,'START LİSTE'!$B$6:$F$1027,2,0)),"",VLOOKUP($C191,'START LİSTE'!$B$6:$F$1027,2,0))</f>
      </c>
      <c r="E191" s="16">
        <f>IF(ISERROR(VLOOKUP($C191,'START LİSTE'!$B$6:$F$1027,4,0)),"",VLOOKUP($C191,'START LİSTE'!$B$6:$F$1027,4,0))</f>
      </c>
      <c r="F191" s="108">
        <f>IF(ISERROR(VLOOKUP($C191,'FERDİ SONUÇ'!$B$6:$H$862,6,0)),"",VLOOKUP($C191,'FERDİ SONUÇ'!$B$6:$H$862,6,0))</f>
      </c>
      <c r="G191" s="16" t="str">
        <f>IF(OR(E191="",F191="DQ",F191="DNF",F191="DNS",F191=""),"-",VLOOKUP(C191,'FERDİ SONUÇ'!$B$6:$H$862,7,0))</f>
        <v>-</v>
      </c>
      <c r="H191" s="16" t="str">
        <f>IF(OR(E191="",E191="F",F191="DQ",F191="DNF",F191="DNS",F191=""),"-",VLOOKUP(C191,'FERDİ SONUÇ'!$B$6:$H$862,7,0))</f>
        <v>-</v>
      </c>
      <c r="I191" s="18" t="str">
        <f>IF(ISERROR(SMALL(H190:H193,2)),"-",SMALL(H190:H193,2))</f>
        <v>-</v>
      </c>
      <c r="J191" s="19"/>
      <c r="BA191" s="2">
        <v>1277</v>
      </c>
      <c r="BB191" s="51"/>
    </row>
    <row r="192" spans="1:54" ht="15" customHeight="1">
      <c r="A192" s="30">
        <f>IF(AND(B192&lt;&gt;"",J192&lt;&gt;"DQ"),COUNT(J$6:J$245)-(RANK(J192,J$6:J$245)+COUNTIF(J$6:J192,J192))+2,IF(C190&lt;&gt;"",BA192,""))</f>
      </c>
      <c r="B192" s="14">
        <f>IF(ISERROR(VLOOKUP(C190,'START LİSTE'!$B$6:$F$1027,3,0)),"",VLOOKUP(C190,'START LİSTE'!$B$6:$F$1027,3,0))</f>
      </c>
      <c r="C192" s="141"/>
      <c r="D192" s="15">
        <f>IF(ISERROR(VLOOKUP($C192,'START LİSTE'!$B$6:$F$1027,2,0)),"",VLOOKUP($C192,'START LİSTE'!$B$6:$F$1027,2,0))</f>
      </c>
      <c r="E192" s="16">
        <f>IF(ISERROR(VLOOKUP($C192,'START LİSTE'!$B$6:$F$1027,4,0)),"",VLOOKUP($C192,'START LİSTE'!$B$6:$F$1027,4,0))</f>
      </c>
      <c r="F192" s="108">
        <f>IF(ISERROR(VLOOKUP($C192,'FERDİ SONUÇ'!$B$6:$H$862,6,0)),"",VLOOKUP($C192,'FERDİ SONUÇ'!$B$6:$H$862,6,0))</f>
      </c>
      <c r="G192" s="16" t="str">
        <f>IF(OR(E192="",F192="DQ",F192="DNF",F192="DNS",F192=""),"-",VLOOKUP(C192,'FERDİ SONUÇ'!$B$6:$H$862,7,0))</f>
        <v>-</v>
      </c>
      <c r="H192" s="16" t="str">
        <f>IF(OR(E192="",E192="F",F192="DQ",F192="DNF",F192="DNS",F192=""),"-",VLOOKUP(C192,'FERDİ SONUÇ'!$B$6:$H$862,7,0))</f>
        <v>-</v>
      </c>
      <c r="I192" s="18" t="str">
        <f>IF(ISERROR(SMALL(H190:H193,3)),"-",SMALL(H190:H193,3))</f>
        <v>-</v>
      </c>
      <c r="J192" s="20">
        <f>IF(C190="","",IF(OR(I190="-",I191="-",I192="-"),"DQ",SUM(I190,I191,I192)))</f>
      </c>
      <c r="BA192" s="2">
        <v>1278</v>
      </c>
      <c r="BB192" s="51"/>
    </row>
    <row r="193" spans="1:54" ht="15" customHeight="1">
      <c r="A193" s="13"/>
      <c r="B193" s="14"/>
      <c r="C193" s="141"/>
      <c r="D193" s="15">
        <f>IF(ISERROR(VLOOKUP($C193,'START LİSTE'!$B$6:$F$1027,2,0)),"",VLOOKUP($C193,'START LİSTE'!$B$6:$F$1027,2,0))</f>
      </c>
      <c r="E193" s="16">
        <f>IF(ISERROR(VLOOKUP($C193,'START LİSTE'!$B$6:$F$1027,4,0)),"",VLOOKUP($C193,'START LİSTE'!$B$6:$F$1027,4,0))</f>
      </c>
      <c r="F193" s="108">
        <f>IF(ISERROR(VLOOKUP($C193,'FERDİ SONUÇ'!$B$6:$H$862,6,0)),"",VLOOKUP($C193,'FERDİ SONUÇ'!$B$6:$H$862,6,0))</f>
      </c>
      <c r="G193" s="16" t="str">
        <f>IF(OR(E193="",F193="DQ",F193="DNF",F193="DNS",F193=""),"-",VLOOKUP(C193,'FERDİ SONUÇ'!$B$6:$H$862,7,0))</f>
        <v>-</v>
      </c>
      <c r="H193" s="16" t="str">
        <f>IF(OR(E193="",E193="F",F193="DQ",F193="DNF",F193="DNS",F193=""),"-",VLOOKUP(C193,'FERDİ SONUÇ'!$B$6:$H$862,7,0))</f>
        <v>-</v>
      </c>
      <c r="I193" s="18" t="str">
        <f>IF(ISERROR(SMALL(H190:H193,4)),"-",SMALL(H190:H193,4))</f>
        <v>-</v>
      </c>
      <c r="J193" s="19"/>
      <c r="BA193" s="2">
        <v>1279</v>
      </c>
      <c r="BB193" s="52"/>
    </row>
    <row r="194" spans="1:54" ht="15" customHeight="1">
      <c r="A194" s="6"/>
      <c r="B194" s="7"/>
      <c r="C194" s="140"/>
      <c r="D194" s="8">
        <f>IF(ISERROR(VLOOKUP($C194,'START LİSTE'!$B$6:$F$1027,2,0)),"",VLOOKUP($C194,'START LİSTE'!$B$6:$F$1027,2,0))</f>
      </c>
      <c r="E194" s="9">
        <f>IF(ISERROR(VLOOKUP($C194,'START LİSTE'!$B$6:$F$1027,4,0)),"",VLOOKUP($C194,'START LİSTE'!$B$6:$F$1027,4,0))</f>
      </c>
      <c r="F194" s="107">
        <f>IF(ISERROR(VLOOKUP($C194,'FERDİ SONUÇ'!$B$6:$H$862,6,0)),"",VLOOKUP($C194,'FERDİ SONUÇ'!$B$6:$H$862,6,0))</f>
      </c>
      <c r="G194" s="9" t="str">
        <f>IF(OR(E194="",F194="DQ",F194="DNF",F194="DNS",F194=""),"-",VLOOKUP(C194,'FERDİ SONUÇ'!$B$6:$H$862,7,0))</f>
        <v>-</v>
      </c>
      <c r="H194" s="9" t="str">
        <f>IF(OR(E194="",E194="F",F194="DQ",F194="DNF",F194="DNS",F194=""),"-",VLOOKUP(C194,'FERDİ SONUÇ'!$B$6:$H$862,7,0))</f>
        <v>-</v>
      </c>
      <c r="I194" s="11" t="str">
        <f>IF(ISERROR(SMALL(H194:H197,1)),"-",SMALL(H194:H197,1))</f>
        <v>-</v>
      </c>
      <c r="J194" s="12"/>
      <c r="BA194" s="2">
        <v>1282</v>
      </c>
      <c r="BB194" s="50"/>
    </row>
    <row r="195" spans="1:54" ht="15" customHeight="1">
      <c r="A195" s="13"/>
      <c r="B195" s="14"/>
      <c r="C195" s="141"/>
      <c r="D195" s="15">
        <f>IF(ISERROR(VLOOKUP($C195,'START LİSTE'!$B$6:$F$1027,2,0)),"",VLOOKUP($C195,'START LİSTE'!$B$6:$F$1027,2,0))</f>
      </c>
      <c r="E195" s="16">
        <f>IF(ISERROR(VLOOKUP($C195,'START LİSTE'!$B$6:$F$1027,4,0)),"",VLOOKUP($C195,'START LİSTE'!$B$6:$F$1027,4,0))</f>
      </c>
      <c r="F195" s="108">
        <f>IF(ISERROR(VLOOKUP($C195,'FERDİ SONUÇ'!$B$6:$H$862,6,0)),"",VLOOKUP($C195,'FERDİ SONUÇ'!$B$6:$H$862,6,0))</f>
      </c>
      <c r="G195" s="16" t="str">
        <f>IF(OR(E195="",F195="DQ",F195="DNF",F195="DNS",F195=""),"-",VLOOKUP(C195,'FERDİ SONUÇ'!$B$6:$H$862,7,0))</f>
        <v>-</v>
      </c>
      <c r="H195" s="16" t="str">
        <f>IF(OR(E195="",E195="F",F195="DQ",F195="DNF",F195="DNS",F195=""),"-",VLOOKUP(C195,'FERDİ SONUÇ'!$B$6:$H$862,7,0))</f>
        <v>-</v>
      </c>
      <c r="I195" s="18" t="str">
        <f>IF(ISERROR(SMALL(H194:H197,2)),"-",SMALL(H194:H197,2))</f>
        <v>-</v>
      </c>
      <c r="J195" s="19"/>
      <c r="BA195" s="2">
        <v>1283</v>
      </c>
      <c r="BB195" s="51"/>
    </row>
    <row r="196" spans="1:54" ht="15" customHeight="1">
      <c r="A196" s="30">
        <f>IF(AND(B196&lt;&gt;"",J196&lt;&gt;"DQ"),COUNT(J$6:J$245)-(RANK(J196,J$6:J$245)+COUNTIF(J$6:J196,J196))+2,IF(C194&lt;&gt;"",BA196,""))</f>
      </c>
      <c r="B196" s="14">
        <f>IF(ISERROR(VLOOKUP(C194,'START LİSTE'!$B$6:$F$1027,3,0)),"",VLOOKUP(C194,'START LİSTE'!$B$6:$F$1027,3,0))</f>
      </c>
      <c r="C196" s="141"/>
      <c r="D196" s="15">
        <f>IF(ISERROR(VLOOKUP($C196,'START LİSTE'!$B$6:$F$1027,2,0)),"",VLOOKUP($C196,'START LİSTE'!$B$6:$F$1027,2,0))</f>
      </c>
      <c r="E196" s="16">
        <f>IF(ISERROR(VLOOKUP($C196,'START LİSTE'!$B$6:$F$1027,4,0)),"",VLOOKUP($C196,'START LİSTE'!$B$6:$F$1027,4,0))</f>
      </c>
      <c r="F196" s="108">
        <f>IF(ISERROR(VLOOKUP($C196,'FERDİ SONUÇ'!$B$6:$H$862,6,0)),"",VLOOKUP($C196,'FERDİ SONUÇ'!$B$6:$H$862,6,0))</f>
      </c>
      <c r="G196" s="16" t="str">
        <f>IF(OR(E196="",F196="DQ",F196="DNF",F196="DNS",F196=""),"-",VLOOKUP(C196,'FERDİ SONUÇ'!$B$6:$H$862,7,0))</f>
        <v>-</v>
      </c>
      <c r="H196" s="16" t="str">
        <f>IF(OR(E196="",E196="F",F196="DQ",F196="DNF",F196="DNS",F196=""),"-",VLOOKUP(C196,'FERDİ SONUÇ'!$B$6:$H$862,7,0))</f>
        <v>-</v>
      </c>
      <c r="I196" s="18" t="str">
        <f>IF(ISERROR(SMALL(H194:H197,3)),"-",SMALL(H194:H197,3))</f>
        <v>-</v>
      </c>
      <c r="J196" s="20">
        <f>IF(C194="","",IF(OR(I194="-",I195="-",I196="-"),"DQ",SUM(I194,I195,I196)))</f>
      </c>
      <c r="BA196" s="2">
        <v>1284</v>
      </c>
      <c r="BB196" s="51"/>
    </row>
    <row r="197" spans="1:54" ht="15" customHeight="1">
      <c r="A197" s="13"/>
      <c r="B197" s="14"/>
      <c r="C197" s="141"/>
      <c r="D197" s="15">
        <f>IF(ISERROR(VLOOKUP($C197,'START LİSTE'!$B$6:$F$1027,2,0)),"",VLOOKUP($C197,'START LİSTE'!$B$6:$F$1027,2,0))</f>
      </c>
      <c r="E197" s="16">
        <f>IF(ISERROR(VLOOKUP($C197,'START LİSTE'!$B$6:$F$1027,4,0)),"",VLOOKUP($C197,'START LİSTE'!$B$6:$F$1027,4,0))</f>
      </c>
      <c r="F197" s="108">
        <f>IF(ISERROR(VLOOKUP($C197,'FERDİ SONUÇ'!$B$6:$H$862,6,0)),"",VLOOKUP($C197,'FERDİ SONUÇ'!$B$6:$H$862,6,0))</f>
      </c>
      <c r="G197" s="16" t="str">
        <f>IF(OR(E197="",F197="DQ",F197="DNF",F197="DNS",F197=""),"-",VLOOKUP(C197,'FERDİ SONUÇ'!$B$6:$H$862,7,0))</f>
        <v>-</v>
      </c>
      <c r="H197" s="16" t="str">
        <f>IF(OR(E197="",E197="F",F197="DQ",F197="DNF",F197="DNS",F197=""),"-",VLOOKUP(C197,'FERDİ SONUÇ'!$B$6:$H$862,7,0))</f>
        <v>-</v>
      </c>
      <c r="I197" s="18" t="str">
        <f>IF(ISERROR(SMALL(H194:H197,4)),"-",SMALL(H194:H197,4))</f>
        <v>-</v>
      </c>
      <c r="J197" s="19"/>
      <c r="BA197" s="2">
        <v>1285</v>
      </c>
      <c r="BB197" s="52"/>
    </row>
    <row r="198" spans="1:54" ht="15" customHeight="1">
      <c r="A198" s="6"/>
      <c r="B198" s="7"/>
      <c r="C198" s="140"/>
      <c r="D198" s="8">
        <f>IF(ISERROR(VLOOKUP($C198,'START LİSTE'!$B$6:$F$1027,2,0)),"",VLOOKUP($C198,'START LİSTE'!$B$6:$F$1027,2,0))</f>
      </c>
      <c r="E198" s="9">
        <f>IF(ISERROR(VLOOKUP($C198,'START LİSTE'!$B$6:$F$1027,4,0)),"",VLOOKUP($C198,'START LİSTE'!$B$6:$F$1027,4,0))</f>
      </c>
      <c r="F198" s="107">
        <f>IF(ISERROR(VLOOKUP($C198,'FERDİ SONUÇ'!$B$6:$H$862,6,0)),"",VLOOKUP($C198,'FERDİ SONUÇ'!$B$6:$H$862,6,0))</f>
      </c>
      <c r="G198" s="9" t="str">
        <f>IF(OR(E198="",F198="DQ",F198="DNF",F198="DNS",F198=""),"-",VLOOKUP(C198,'FERDİ SONUÇ'!$B$6:$H$862,7,0))</f>
        <v>-</v>
      </c>
      <c r="H198" s="9" t="str">
        <f>IF(OR(E198="",E198="F",F198="DQ",F198="DNF",F198="DNS",F198=""),"-",VLOOKUP(C198,'FERDİ SONUÇ'!$B$6:$H$862,7,0))</f>
        <v>-</v>
      </c>
      <c r="I198" s="11" t="str">
        <f>IF(ISERROR(SMALL(H198:H201,1)),"-",SMALL(H198:H201,1))</f>
        <v>-</v>
      </c>
      <c r="J198" s="12"/>
      <c r="BA198" s="2">
        <v>1288</v>
      </c>
      <c r="BB198" s="50"/>
    </row>
    <row r="199" spans="1:54" ht="15" customHeight="1">
      <c r="A199" s="13"/>
      <c r="B199" s="14"/>
      <c r="C199" s="141"/>
      <c r="D199" s="15">
        <f>IF(ISERROR(VLOOKUP($C199,'START LİSTE'!$B$6:$F$1027,2,0)),"",VLOOKUP($C199,'START LİSTE'!$B$6:$F$1027,2,0))</f>
      </c>
      <c r="E199" s="16">
        <f>IF(ISERROR(VLOOKUP($C199,'START LİSTE'!$B$6:$F$1027,4,0)),"",VLOOKUP($C199,'START LİSTE'!$B$6:$F$1027,4,0))</f>
      </c>
      <c r="F199" s="108">
        <f>IF(ISERROR(VLOOKUP($C199,'FERDİ SONUÇ'!$B$6:$H$862,6,0)),"",VLOOKUP($C199,'FERDİ SONUÇ'!$B$6:$H$862,6,0))</f>
      </c>
      <c r="G199" s="16" t="str">
        <f>IF(OR(E199="",F199="DQ",F199="DNF",F199="DNS",F199=""),"-",VLOOKUP(C199,'FERDİ SONUÇ'!$B$6:$H$862,7,0))</f>
        <v>-</v>
      </c>
      <c r="H199" s="16" t="str">
        <f>IF(OR(E199="",E199="F",F199="DQ",F199="DNF",F199="DNS",F199=""),"-",VLOOKUP(C199,'FERDİ SONUÇ'!$B$6:$H$862,7,0))</f>
        <v>-</v>
      </c>
      <c r="I199" s="18" t="str">
        <f>IF(ISERROR(SMALL(H198:H201,2)),"-",SMALL(H198:H201,2))</f>
        <v>-</v>
      </c>
      <c r="J199" s="19"/>
      <c r="BA199" s="2">
        <v>1289</v>
      </c>
      <c r="BB199" s="51"/>
    </row>
    <row r="200" spans="1:54" ht="15" customHeight="1">
      <c r="A200" s="30">
        <f>IF(AND(B200&lt;&gt;"",J200&lt;&gt;"DQ"),COUNT(J$6:J$245)-(RANK(J200,J$6:J$245)+COUNTIF(J$6:J200,J200))+2,IF(C198&lt;&gt;"",BA200,""))</f>
      </c>
      <c r="B200" s="14">
        <f>IF(ISERROR(VLOOKUP(C198,'START LİSTE'!$B$6:$F$1027,3,0)),"",VLOOKUP(C198,'START LİSTE'!$B$6:$F$1027,3,0))</f>
      </c>
      <c r="C200" s="141"/>
      <c r="D200" s="15">
        <f>IF(ISERROR(VLOOKUP($C200,'START LİSTE'!$B$6:$F$1027,2,0)),"",VLOOKUP($C200,'START LİSTE'!$B$6:$F$1027,2,0))</f>
      </c>
      <c r="E200" s="16">
        <f>IF(ISERROR(VLOOKUP($C200,'START LİSTE'!$B$6:$F$1027,4,0)),"",VLOOKUP($C200,'START LİSTE'!$B$6:$F$1027,4,0))</f>
      </c>
      <c r="F200" s="108">
        <f>IF(ISERROR(VLOOKUP($C200,'FERDİ SONUÇ'!$B$6:$H$862,6,0)),"",VLOOKUP($C200,'FERDİ SONUÇ'!$B$6:$H$862,6,0))</f>
      </c>
      <c r="G200" s="16" t="str">
        <f>IF(OR(E200="",F200="DQ",F200="DNF",F200="DNS",F200=""),"-",VLOOKUP(C200,'FERDİ SONUÇ'!$B$6:$H$862,7,0))</f>
        <v>-</v>
      </c>
      <c r="H200" s="16" t="str">
        <f>IF(OR(E200="",E200="F",F200="DQ",F200="DNF",F200="DNS",F200=""),"-",VLOOKUP(C200,'FERDİ SONUÇ'!$B$6:$H$862,7,0))</f>
        <v>-</v>
      </c>
      <c r="I200" s="18" t="str">
        <f>IF(ISERROR(SMALL(H198:H201,3)),"-",SMALL(H198:H201,3))</f>
        <v>-</v>
      </c>
      <c r="J200" s="20">
        <f>IF(C198="","",IF(OR(I198="-",I199="-",I200="-"),"DQ",SUM(I198,I199,I200)))</f>
      </c>
      <c r="BA200" s="2">
        <v>1290</v>
      </c>
      <c r="BB200" s="51"/>
    </row>
    <row r="201" spans="1:54" ht="15" customHeight="1">
      <c r="A201" s="13"/>
      <c r="B201" s="14"/>
      <c r="C201" s="141"/>
      <c r="D201" s="15">
        <f>IF(ISERROR(VLOOKUP($C201,'START LİSTE'!$B$6:$F$1027,2,0)),"",VLOOKUP($C201,'START LİSTE'!$B$6:$F$1027,2,0))</f>
      </c>
      <c r="E201" s="16">
        <f>IF(ISERROR(VLOOKUP($C201,'START LİSTE'!$B$6:$F$1027,4,0)),"",VLOOKUP($C201,'START LİSTE'!$B$6:$F$1027,4,0))</f>
      </c>
      <c r="F201" s="108">
        <f>IF(ISERROR(VLOOKUP($C201,'FERDİ SONUÇ'!$B$6:$H$862,6,0)),"",VLOOKUP($C201,'FERDİ SONUÇ'!$B$6:$H$862,6,0))</f>
      </c>
      <c r="G201" s="16" t="str">
        <f>IF(OR(E201="",F201="DQ",F201="DNF",F201="DNS",F201=""),"-",VLOOKUP(C201,'FERDİ SONUÇ'!$B$6:$H$862,7,0))</f>
        <v>-</v>
      </c>
      <c r="H201" s="16" t="str">
        <f>IF(OR(E201="",E201="F",F201="DQ",F201="DNF",F201="DNS",F201=""),"-",VLOOKUP(C201,'FERDİ SONUÇ'!$B$6:$H$862,7,0))</f>
        <v>-</v>
      </c>
      <c r="I201" s="18" t="str">
        <f>IF(ISERROR(SMALL(H198:H201,4)),"-",SMALL(H198:H201,4))</f>
        <v>-</v>
      </c>
      <c r="J201" s="19"/>
      <c r="BA201" s="2">
        <v>1291</v>
      </c>
      <c r="BB201" s="52"/>
    </row>
    <row r="202" spans="1:54" ht="15" customHeight="1">
      <c r="A202" s="6"/>
      <c r="B202" s="7"/>
      <c r="C202" s="140"/>
      <c r="D202" s="8">
        <f>IF(ISERROR(VLOOKUP($C202,'START LİSTE'!$B$6:$F$1027,2,0)),"",VLOOKUP($C202,'START LİSTE'!$B$6:$F$1027,2,0))</f>
      </c>
      <c r="E202" s="9">
        <f>IF(ISERROR(VLOOKUP($C202,'START LİSTE'!$B$6:$F$1027,4,0)),"",VLOOKUP($C202,'START LİSTE'!$B$6:$F$1027,4,0))</f>
      </c>
      <c r="F202" s="107">
        <f>IF(ISERROR(VLOOKUP($C202,'FERDİ SONUÇ'!$B$6:$H$862,6,0)),"",VLOOKUP($C202,'FERDİ SONUÇ'!$B$6:$H$862,6,0))</f>
      </c>
      <c r="G202" s="9" t="str">
        <f>IF(OR(E202="",F202="DQ",F202="DNF",F202="DNS",F202=""),"-",VLOOKUP(C202,'FERDİ SONUÇ'!$B$6:$H$862,7,0))</f>
        <v>-</v>
      </c>
      <c r="H202" s="9" t="str">
        <f>IF(OR(E202="",E202="F",F202="DQ",F202="DNF",F202="DNS",F202=""),"-",VLOOKUP(C202,'FERDİ SONUÇ'!$B$6:$H$862,7,0))</f>
        <v>-</v>
      </c>
      <c r="I202" s="11" t="str">
        <f>IF(ISERROR(SMALL(H202:H205,1)),"-",SMALL(H202:H205,1))</f>
        <v>-</v>
      </c>
      <c r="J202" s="12"/>
      <c r="BA202" s="2">
        <v>1294</v>
      </c>
      <c r="BB202" s="50"/>
    </row>
    <row r="203" spans="1:54" ht="15" customHeight="1">
      <c r="A203" s="13"/>
      <c r="B203" s="14"/>
      <c r="C203" s="141"/>
      <c r="D203" s="15">
        <f>IF(ISERROR(VLOOKUP($C203,'START LİSTE'!$B$6:$F$1027,2,0)),"",VLOOKUP($C203,'START LİSTE'!$B$6:$F$1027,2,0))</f>
      </c>
      <c r="E203" s="16">
        <f>IF(ISERROR(VLOOKUP($C203,'START LİSTE'!$B$6:$F$1027,4,0)),"",VLOOKUP($C203,'START LİSTE'!$B$6:$F$1027,4,0))</f>
      </c>
      <c r="F203" s="108">
        <f>IF(ISERROR(VLOOKUP($C203,'FERDİ SONUÇ'!$B$6:$H$862,6,0)),"",VLOOKUP($C203,'FERDİ SONUÇ'!$B$6:$H$862,6,0))</f>
      </c>
      <c r="G203" s="16" t="str">
        <f>IF(OR(E203="",F203="DQ",F203="DNF",F203="DNS",F203=""),"-",VLOOKUP(C203,'FERDİ SONUÇ'!$B$6:$H$862,7,0))</f>
        <v>-</v>
      </c>
      <c r="H203" s="16" t="str">
        <f>IF(OR(E203="",E203="F",F203="DQ",F203="DNF",F203="DNS",F203=""),"-",VLOOKUP(C203,'FERDİ SONUÇ'!$B$6:$H$862,7,0))</f>
        <v>-</v>
      </c>
      <c r="I203" s="18" t="str">
        <f>IF(ISERROR(SMALL(H202:H205,2)),"-",SMALL(H202:H205,2))</f>
        <v>-</v>
      </c>
      <c r="J203" s="19"/>
      <c r="BA203" s="2">
        <v>1295</v>
      </c>
      <c r="BB203" s="51"/>
    </row>
    <row r="204" spans="1:54" ht="15" customHeight="1">
      <c r="A204" s="30">
        <f>IF(AND(B204&lt;&gt;"",J204&lt;&gt;"DQ"),COUNT(J$6:J$245)-(RANK(J204,J$6:J$245)+COUNTIF(J$6:J204,J204))+2,IF(C202&lt;&gt;"",BA204,""))</f>
      </c>
      <c r="B204" s="14">
        <f>IF(ISERROR(VLOOKUP(C202,'START LİSTE'!$B$6:$F$1027,3,0)),"",VLOOKUP(C202,'START LİSTE'!$B$6:$F$1027,3,0))</f>
      </c>
      <c r="C204" s="141"/>
      <c r="D204" s="15">
        <f>IF(ISERROR(VLOOKUP($C204,'START LİSTE'!$B$6:$F$1027,2,0)),"",VLOOKUP($C204,'START LİSTE'!$B$6:$F$1027,2,0))</f>
      </c>
      <c r="E204" s="16">
        <f>IF(ISERROR(VLOOKUP($C204,'START LİSTE'!$B$6:$F$1027,4,0)),"",VLOOKUP($C204,'START LİSTE'!$B$6:$F$1027,4,0))</f>
      </c>
      <c r="F204" s="108">
        <f>IF(ISERROR(VLOOKUP($C204,'FERDİ SONUÇ'!$B$6:$H$862,6,0)),"",VLOOKUP($C204,'FERDİ SONUÇ'!$B$6:$H$862,6,0))</f>
      </c>
      <c r="G204" s="16" t="str">
        <f>IF(OR(E204="",F204="DQ",F204="DNF",F204="DNS",F204=""),"-",VLOOKUP(C204,'FERDİ SONUÇ'!$B$6:$H$862,7,0))</f>
        <v>-</v>
      </c>
      <c r="H204" s="16" t="str">
        <f>IF(OR(E204="",E204="F",F204="DQ",F204="DNF",F204="DNS",F204=""),"-",VLOOKUP(C204,'FERDİ SONUÇ'!$B$6:$H$862,7,0))</f>
        <v>-</v>
      </c>
      <c r="I204" s="18" t="str">
        <f>IF(ISERROR(SMALL(H202:H205,3)),"-",SMALL(H202:H205,3))</f>
        <v>-</v>
      </c>
      <c r="J204" s="20">
        <f>IF(C202="","",IF(OR(I202="-",I203="-",I204="-"),"DQ",SUM(I202,I203,I204)))</f>
      </c>
      <c r="BA204" s="2">
        <v>1296</v>
      </c>
      <c r="BB204" s="51"/>
    </row>
    <row r="205" spans="1:54" ht="15" customHeight="1">
      <c r="A205" s="13"/>
      <c r="B205" s="14"/>
      <c r="C205" s="141"/>
      <c r="D205" s="15">
        <f>IF(ISERROR(VLOOKUP($C205,'START LİSTE'!$B$6:$F$1027,2,0)),"",VLOOKUP($C205,'START LİSTE'!$B$6:$F$1027,2,0))</f>
      </c>
      <c r="E205" s="16">
        <f>IF(ISERROR(VLOOKUP($C205,'START LİSTE'!$B$6:$F$1027,4,0)),"",VLOOKUP($C205,'START LİSTE'!$B$6:$F$1027,4,0))</f>
      </c>
      <c r="F205" s="108">
        <f>IF(ISERROR(VLOOKUP($C205,'FERDİ SONUÇ'!$B$6:$H$862,6,0)),"",VLOOKUP($C205,'FERDİ SONUÇ'!$B$6:$H$862,6,0))</f>
      </c>
      <c r="G205" s="16" t="str">
        <f>IF(OR(E205="",F205="DQ",F205="DNF",F205="DNS",F205=""),"-",VLOOKUP(C205,'FERDİ SONUÇ'!$B$6:$H$862,7,0))</f>
        <v>-</v>
      </c>
      <c r="H205" s="16" t="str">
        <f>IF(OR(E205="",E205="F",F205="DQ",F205="DNF",F205="DNS",F205=""),"-",VLOOKUP(C205,'FERDİ SONUÇ'!$B$6:$H$862,7,0))</f>
        <v>-</v>
      </c>
      <c r="I205" s="18" t="str">
        <f>IF(ISERROR(SMALL(H202:H205,4)),"-",SMALL(H202:H205,4))</f>
        <v>-</v>
      </c>
      <c r="J205" s="19"/>
      <c r="BA205" s="2">
        <v>1297</v>
      </c>
      <c r="BB205" s="52"/>
    </row>
    <row r="206" spans="1:54" ht="15" customHeight="1">
      <c r="A206" s="6"/>
      <c r="B206" s="7"/>
      <c r="C206" s="140"/>
      <c r="D206" s="8">
        <f>IF(ISERROR(VLOOKUP($C206,'START LİSTE'!$B$6:$F$1027,2,0)),"",VLOOKUP($C206,'START LİSTE'!$B$6:$F$1027,2,0))</f>
      </c>
      <c r="E206" s="9">
        <f>IF(ISERROR(VLOOKUP($C206,'START LİSTE'!$B$6:$F$1027,4,0)),"",VLOOKUP($C206,'START LİSTE'!$B$6:$F$1027,4,0))</f>
      </c>
      <c r="F206" s="107">
        <f>IF(ISERROR(VLOOKUP($C206,'FERDİ SONUÇ'!$B$6:$H$862,6,0)),"",VLOOKUP($C206,'FERDİ SONUÇ'!$B$6:$H$862,6,0))</f>
      </c>
      <c r="G206" s="9" t="str">
        <f>IF(OR(E206="",F206="DQ",F206="DNF",F206="DNS",F206=""),"-",VLOOKUP(C206,'FERDİ SONUÇ'!$B$6:$H$862,7,0))</f>
        <v>-</v>
      </c>
      <c r="H206" s="9" t="str">
        <f>IF(OR(E206="",E206="F",F206="DQ",F206="DNF",F206="DNS",F206=""),"-",VLOOKUP(C206,'FERDİ SONUÇ'!$B$6:$H$862,7,0))</f>
        <v>-</v>
      </c>
      <c r="I206" s="11" t="str">
        <f>IF(ISERROR(SMALL(H206:H209,1)),"-",SMALL(H206:H209,1))</f>
        <v>-</v>
      </c>
      <c r="J206" s="12"/>
      <c r="BA206" s="2">
        <v>1300</v>
      </c>
      <c r="BB206" s="50"/>
    </row>
    <row r="207" spans="1:54" ht="15" customHeight="1">
      <c r="A207" s="13"/>
      <c r="B207" s="14"/>
      <c r="C207" s="141"/>
      <c r="D207" s="15">
        <f>IF(ISERROR(VLOOKUP($C207,'START LİSTE'!$B$6:$F$1027,2,0)),"",VLOOKUP($C207,'START LİSTE'!$B$6:$F$1027,2,0))</f>
      </c>
      <c r="E207" s="16">
        <f>IF(ISERROR(VLOOKUP($C207,'START LİSTE'!$B$6:$F$1027,4,0)),"",VLOOKUP($C207,'START LİSTE'!$B$6:$F$1027,4,0))</f>
      </c>
      <c r="F207" s="108">
        <f>IF(ISERROR(VLOOKUP($C207,'FERDİ SONUÇ'!$B$6:$H$862,6,0)),"",VLOOKUP($C207,'FERDİ SONUÇ'!$B$6:$H$862,6,0))</f>
      </c>
      <c r="G207" s="16" t="str">
        <f>IF(OR(E207="",F207="DQ",F207="DNF",F207="DNS",F207=""),"-",VLOOKUP(C207,'FERDİ SONUÇ'!$B$6:$H$862,7,0))</f>
        <v>-</v>
      </c>
      <c r="H207" s="16" t="str">
        <f>IF(OR(E207="",E207="F",F207="DQ",F207="DNF",F207="DNS",F207=""),"-",VLOOKUP(C207,'FERDİ SONUÇ'!$B$6:$H$862,7,0))</f>
        <v>-</v>
      </c>
      <c r="I207" s="18" t="str">
        <f>IF(ISERROR(SMALL(H206:H209,2)),"-",SMALL(H206:H209,2))</f>
        <v>-</v>
      </c>
      <c r="J207" s="19"/>
      <c r="BA207" s="2">
        <v>1301</v>
      </c>
      <c r="BB207" s="51"/>
    </row>
    <row r="208" spans="1:54" ht="15" customHeight="1">
      <c r="A208" s="30">
        <f>IF(AND(B208&lt;&gt;"",J208&lt;&gt;"DQ"),COUNT(J$6:J$245)-(RANK(J208,J$6:J$245)+COUNTIF(J$6:J208,J208))+2,IF(C206&lt;&gt;"",BA208,""))</f>
      </c>
      <c r="B208" s="14">
        <f>IF(ISERROR(VLOOKUP(C206,'START LİSTE'!$B$6:$F$1027,3,0)),"",VLOOKUP(C206,'START LİSTE'!$B$6:$F$1027,3,0))</f>
      </c>
      <c r="C208" s="141"/>
      <c r="D208" s="15">
        <f>IF(ISERROR(VLOOKUP($C208,'START LİSTE'!$B$6:$F$1027,2,0)),"",VLOOKUP($C208,'START LİSTE'!$B$6:$F$1027,2,0))</f>
      </c>
      <c r="E208" s="16">
        <f>IF(ISERROR(VLOOKUP($C208,'START LİSTE'!$B$6:$F$1027,4,0)),"",VLOOKUP($C208,'START LİSTE'!$B$6:$F$1027,4,0))</f>
      </c>
      <c r="F208" s="108">
        <f>IF(ISERROR(VLOOKUP($C208,'FERDİ SONUÇ'!$B$6:$H$862,6,0)),"",VLOOKUP($C208,'FERDİ SONUÇ'!$B$6:$H$862,6,0))</f>
      </c>
      <c r="G208" s="16" t="str">
        <f>IF(OR(E208="",F208="DQ",F208="DNF",F208="DNS",F208=""),"-",VLOOKUP(C208,'FERDİ SONUÇ'!$B$6:$H$862,7,0))</f>
        <v>-</v>
      </c>
      <c r="H208" s="16" t="str">
        <f>IF(OR(E208="",E208="F",F208="DQ",F208="DNF",F208="DNS",F208=""),"-",VLOOKUP(C208,'FERDİ SONUÇ'!$B$6:$H$862,7,0))</f>
        <v>-</v>
      </c>
      <c r="I208" s="18" t="str">
        <f>IF(ISERROR(SMALL(H206:H209,3)),"-",SMALL(H206:H209,3))</f>
        <v>-</v>
      </c>
      <c r="J208" s="20">
        <f>IF(C206="","",IF(OR(I206="-",I207="-",I208="-"),"DQ",SUM(I206,I207,I208)))</f>
      </c>
      <c r="BA208" s="2">
        <v>1302</v>
      </c>
      <c r="BB208" s="51"/>
    </row>
    <row r="209" spans="1:54" ht="15" customHeight="1">
      <c r="A209" s="13"/>
      <c r="B209" s="14"/>
      <c r="C209" s="141"/>
      <c r="D209" s="15">
        <f>IF(ISERROR(VLOOKUP($C209,'START LİSTE'!$B$6:$F$1027,2,0)),"",VLOOKUP($C209,'START LİSTE'!$B$6:$F$1027,2,0))</f>
      </c>
      <c r="E209" s="16">
        <f>IF(ISERROR(VLOOKUP($C209,'START LİSTE'!$B$6:$F$1027,4,0)),"",VLOOKUP($C209,'START LİSTE'!$B$6:$F$1027,4,0))</f>
      </c>
      <c r="F209" s="108">
        <f>IF(ISERROR(VLOOKUP($C209,'FERDİ SONUÇ'!$B$6:$H$862,6,0)),"",VLOOKUP($C209,'FERDİ SONUÇ'!$B$6:$H$862,6,0))</f>
      </c>
      <c r="G209" s="16" t="str">
        <f>IF(OR(E209="",F209="DQ",F209="DNF",F209="DNS",F209=""),"-",VLOOKUP(C209,'FERDİ SONUÇ'!$B$6:$H$862,7,0))</f>
        <v>-</v>
      </c>
      <c r="H209" s="16" t="str">
        <f>IF(OR(E209="",E209="F",F209="DQ",F209="DNF",F209="DNS",F209=""),"-",VLOOKUP(C209,'FERDİ SONUÇ'!$B$6:$H$862,7,0))</f>
        <v>-</v>
      </c>
      <c r="I209" s="18" t="str">
        <f>IF(ISERROR(SMALL(H206:H209,4)),"-",SMALL(H206:H209,4))</f>
        <v>-</v>
      </c>
      <c r="J209" s="19"/>
      <c r="BA209" s="2">
        <v>1303</v>
      </c>
      <c r="BB209" s="52"/>
    </row>
    <row r="210" spans="1:54" ht="15" customHeight="1">
      <c r="A210" s="6"/>
      <c r="B210" s="7"/>
      <c r="C210" s="140"/>
      <c r="D210" s="8">
        <f>IF(ISERROR(VLOOKUP($C210,'START LİSTE'!$B$6:$F$1027,2,0)),"",VLOOKUP($C210,'START LİSTE'!$B$6:$F$1027,2,0))</f>
      </c>
      <c r="E210" s="9">
        <f>IF(ISERROR(VLOOKUP($C210,'START LİSTE'!$B$6:$F$1027,4,0)),"",VLOOKUP($C210,'START LİSTE'!$B$6:$F$1027,4,0))</f>
      </c>
      <c r="F210" s="107">
        <f>IF(ISERROR(VLOOKUP($C210,'FERDİ SONUÇ'!$B$6:$H$862,6,0)),"",VLOOKUP($C210,'FERDİ SONUÇ'!$B$6:$H$862,6,0))</f>
      </c>
      <c r="G210" s="9" t="str">
        <f>IF(OR(E210="",F210="DQ",F210="DNF",F210="DNS",F210=""),"-",VLOOKUP(C210,'FERDİ SONUÇ'!$B$6:$H$862,7,0))</f>
        <v>-</v>
      </c>
      <c r="H210" s="9" t="str">
        <f>IF(OR(E210="",E210="F",F210="DQ",F210="DNF",F210="DNS",F210=""),"-",VLOOKUP(C210,'FERDİ SONUÇ'!$B$6:$H$862,7,0))</f>
        <v>-</v>
      </c>
      <c r="I210" s="11" t="str">
        <f>IF(ISERROR(SMALL(H210:H213,1)),"-",SMALL(H210:H213,1))</f>
        <v>-</v>
      </c>
      <c r="J210" s="12"/>
      <c r="BA210" s="2">
        <v>1306</v>
      </c>
      <c r="BB210" s="50"/>
    </row>
    <row r="211" spans="1:54" ht="15" customHeight="1">
      <c r="A211" s="13"/>
      <c r="B211" s="14"/>
      <c r="C211" s="141"/>
      <c r="D211" s="15">
        <f>IF(ISERROR(VLOOKUP($C211,'START LİSTE'!$B$6:$F$1027,2,0)),"",VLOOKUP($C211,'START LİSTE'!$B$6:$F$1027,2,0))</f>
      </c>
      <c r="E211" s="16">
        <f>IF(ISERROR(VLOOKUP($C211,'START LİSTE'!$B$6:$F$1027,4,0)),"",VLOOKUP($C211,'START LİSTE'!$B$6:$F$1027,4,0))</f>
      </c>
      <c r="F211" s="108">
        <f>IF(ISERROR(VLOOKUP($C211,'FERDİ SONUÇ'!$B$6:$H$862,6,0)),"",VLOOKUP($C211,'FERDİ SONUÇ'!$B$6:$H$862,6,0))</f>
      </c>
      <c r="G211" s="16" t="str">
        <f>IF(OR(E211="",F211="DQ",F211="DNF",F211="DNS",F211=""),"-",VLOOKUP(C211,'FERDİ SONUÇ'!$B$6:$H$862,7,0))</f>
        <v>-</v>
      </c>
      <c r="H211" s="16" t="str">
        <f>IF(OR(E211="",E211="F",F211="DQ",F211="DNF",F211="DNS",F211=""),"-",VLOOKUP(C211,'FERDİ SONUÇ'!$B$6:$H$862,7,0))</f>
        <v>-</v>
      </c>
      <c r="I211" s="18" t="str">
        <f>IF(ISERROR(SMALL(H210:H213,2)),"-",SMALL(H210:H213,2))</f>
        <v>-</v>
      </c>
      <c r="J211" s="19"/>
      <c r="BA211" s="2">
        <v>1307</v>
      </c>
      <c r="BB211" s="51"/>
    </row>
    <row r="212" spans="1:54" ht="15" customHeight="1">
      <c r="A212" s="30">
        <f>IF(AND(B212&lt;&gt;"",J212&lt;&gt;"DQ"),COUNT(J$6:J$245)-(RANK(J212,J$6:J$245)+COUNTIF(J$6:J212,J212))+2,IF(C210&lt;&gt;"",BA212,""))</f>
      </c>
      <c r="B212" s="14">
        <f>IF(ISERROR(VLOOKUP(C210,'START LİSTE'!$B$6:$F$1027,3,0)),"",VLOOKUP(C210,'START LİSTE'!$B$6:$F$1027,3,0))</f>
      </c>
      <c r="C212" s="141"/>
      <c r="D212" s="15">
        <f>IF(ISERROR(VLOOKUP($C212,'START LİSTE'!$B$6:$F$1027,2,0)),"",VLOOKUP($C212,'START LİSTE'!$B$6:$F$1027,2,0))</f>
      </c>
      <c r="E212" s="16">
        <f>IF(ISERROR(VLOOKUP($C212,'START LİSTE'!$B$6:$F$1027,4,0)),"",VLOOKUP($C212,'START LİSTE'!$B$6:$F$1027,4,0))</f>
      </c>
      <c r="F212" s="108">
        <f>IF(ISERROR(VLOOKUP($C212,'FERDİ SONUÇ'!$B$6:$H$862,6,0)),"",VLOOKUP($C212,'FERDİ SONUÇ'!$B$6:$H$862,6,0))</f>
      </c>
      <c r="G212" s="16" t="str">
        <f>IF(OR(E212="",F212="DQ",F212="DNF",F212="DNS",F212=""),"-",VLOOKUP(C212,'FERDİ SONUÇ'!$B$6:$H$862,7,0))</f>
        <v>-</v>
      </c>
      <c r="H212" s="16" t="str">
        <f>IF(OR(E212="",E212="F",F212="DQ",F212="DNF",F212="DNS",F212=""),"-",VLOOKUP(C212,'FERDİ SONUÇ'!$B$6:$H$862,7,0))</f>
        <v>-</v>
      </c>
      <c r="I212" s="18" t="str">
        <f>IF(ISERROR(SMALL(H210:H213,3)),"-",SMALL(H210:H213,3))</f>
        <v>-</v>
      </c>
      <c r="J212" s="20">
        <f>IF(C210="","",IF(OR(I210="-",I211="-",I212="-"),"DQ",SUM(I210,I211,I212)))</f>
      </c>
      <c r="BA212" s="2">
        <v>1308</v>
      </c>
      <c r="BB212" s="51"/>
    </row>
    <row r="213" spans="1:54" ht="15" customHeight="1">
      <c r="A213" s="13"/>
      <c r="B213" s="14"/>
      <c r="C213" s="141"/>
      <c r="D213" s="15">
        <f>IF(ISERROR(VLOOKUP($C213,'START LİSTE'!$B$6:$F$1027,2,0)),"",VLOOKUP($C213,'START LİSTE'!$B$6:$F$1027,2,0))</f>
      </c>
      <c r="E213" s="16">
        <f>IF(ISERROR(VLOOKUP($C213,'START LİSTE'!$B$6:$F$1027,4,0)),"",VLOOKUP($C213,'START LİSTE'!$B$6:$F$1027,4,0))</f>
      </c>
      <c r="F213" s="108">
        <f>IF(ISERROR(VLOOKUP($C213,'FERDİ SONUÇ'!$B$6:$H$862,6,0)),"",VLOOKUP($C213,'FERDİ SONUÇ'!$B$6:$H$862,6,0))</f>
      </c>
      <c r="G213" s="16" t="str">
        <f>IF(OR(E213="",F213="DQ",F213="DNF",F213="DNS",F213=""),"-",VLOOKUP(C213,'FERDİ SONUÇ'!$B$6:$H$862,7,0))</f>
        <v>-</v>
      </c>
      <c r="H213" s="16" t="str">
        <f>IF(OR(E213="",E213="F",F213="DQ",F213="DNF",F213="DNS",F213=""),"-",VLOOKUP(C213,'FERDİ SONUÇ'!$B$6:$H$862,7,0))</f>
        <v>-</v>
      </c>
      <c r="I213" s="18" t="str">
        <f>IF(ISERROR(SMALL(H210:H213,4)),"-",SMALL(H210:H213,4))</f>
        <v>-</v>
      </c>
      <c r="J213" s="19"/>
      <c r="BA213" s="2">
        <v>1309</v>
      </c>
      <c r="BB213" s="52"/>
    </row>
    <row r="214" spans="1:54" ht="15" customHeight="1">
      <c r="A214" s="6"/>
      <c r="B214" s="7"/>
      <c r="C214" s="140"/>
      <c r="D214" s="8">
        <f>IF(ISERROR(VLOOKUP($C214,'START LİSTE'!$B$6:$F$1027,2,0)),"",VLOOKUP($C214,'START LİSTE'!$B$6:$F$1027,2,0))</f>
      </c>
      <c r="E214" s="9">
        <f>IF(ISERROR(VLOOKUP($C214,'START LİSTE'!$B$6:$F$1027,4,0)),"",VLOOKUP($C214,'START LİSTE'!$B$6:$F$1027,4,0))</f>
      </c>
      <c r="F214" s="107">
        <f>IF(ISERROR(VLOOKUP($C214,'FERDİ SONUÇ'!$B$6:$H$862,6,0)),"",VLOOKUP($C214,'FERDİ SONUÇ'!$B$6:$H$862,6,0))</f>
      </c>
      <c r="G214" s="9" t="str">
        <f>IF(OR(E214="",F214="DQ",F214="DNF",F214="DNS",F214=""),"-",VLOOKUP(C214,'FERDİ SONUÇ'!$B$6:$H$862,7,0))</f>
        <v>-</v>
      </c>
      <c r="H214" s="9" t="str">
        <f>IF(OR(E214="",E214="F",F214="DQ",F214="DNF",F214="DNS",F214=""),"-",VLOOKUP(C214,'FERDİ SONUÇ'!$B$6:$H$862,7,0))</f>
        <v>-</v>
      </c>
      <c r="I214" s="11" t="str">
        <f>IF(ISERROR(SMALL(H214:H217,1)),"-",SMALL(H214:H217,1))</f>
        <v>-</v>
      </c>
      <c r="J214" s="12"/>
      <c r="BA214" s="2">
        <v>1312</v>
      </c>
      <c r="BB214" s="50"/>
    </row>
    <row r="215" spans="1:54" ht="15" customHeight="1">
      <c r="A215" s="13"/>
      <c r="B215" s="14"/>
      <c r="C215" s="141"/>
      <c r="D215" s="15">
        <f>IF(ISERROR(VLOOKUP($C215,'START LİSTE'!$B$6:$F$1027,2,0)),"",VLOOKUP($C215,'START LİSTE'!$B$6:$F$1027,2,0))</f>
      </c>
      <c r="E215" s="16">
        <f>IF(ISERROR(VLOOKUP($C215,'START LİSTE'!$B$6:$F$1027,4,0)),"",VLOOKUP($C215,'START LİSTE'!$B$6:$F$1027,4,0))</f>
      </c>
      <c r="F215" s="108">
        <f>IF(ISERROR(VLOOKUP($C215,'FERDİ SONUÇ'!$B$6:$H$862,6,0)),"",VLOOKUP($C215,'FERDİ SONUÇ'!$B$6:$H$862,6,0))</f>
      </c>
      <c r="G215" s="16" t="str">
        <f>IF(OR(E215="",F215="DQ",F215="DNF",F215="DNS",F215=""),"-",VLOOKUP(C215,'FERDİ SONUÇ'!$B$6:$H$862,7,0))</f>
        <v>-</v>
      </c>
      <c r="H215" s="16" t="str">
        <f>IF(OR(E215="",E215="F",F215="DQ",F215="DNF",F215="DNS",F215=""),"-",VLOOKUP(C215,'FERDİ SONUÇ'!$B$6:$H$862,7,0))</f>
        <v>-</v>
      </c>
      <c r="I215" s="18" t="str">
        <f>IF(ISERROR(SMALL(H214:H217,2)),"-",SMALL(H214:H217,2))</f>
        <v>-</v>
      </c>
      <c r="J215" s="19"/>
      <c r="BA215" s="2">
        <v>1313</v>
      </c>
      <c r="BB215" s="51"/>
    </row>
    <row r="216" spans="1:54" ht="15" customHeight="1">
      <c r="A216" s="30">
        <f>IF(AND(B216&lt;&gt;"",J216&lt;&gt;"DQ"),COUNT(J$6:J$245)-(RANK(J216,J$6:J$245)+COUNTIF(J$6:J216,J216))+2,IF(C214&lt;&gt;"",BA216,""))</f>
      </c>
      <c r="B216" s="14">
        <f>IF(ISERROR(VLOOKUP(C214,'START LİSTE'!$B$6:$F$1027,3,0)),"",VLOOKUP(C214,'START LİSTE'!$B$6:$F$1027,3,0))</f>
      </c>
      <c r="C216" s="141"/>
      <c r="D216" s="15">
        <f>IF(ISERROR(VLOOKUP($C216,'START LİSTE'!$B$6:$F$1027,2,0)),"",VLOOKUP($C216,'START LİSTE'!$B$6:$F$1027,2,0))</f>
      </c>
      <c r="E216" s="16">
        <f>IF(ISERROR(VLOOKUP($C216,'START LİSTE'!$B$6:$F$1027,4,0)),"",VLOOKUP($C216,'START LİSTE'!$B$6:$F$1027,4,0))</f>
      </c>
      <c r="F216" s="108">
        <f>IF(ISERROR(VLOOKUP($C216,'FERDİ SONUÇ'!$B$6:$H$862,6,0)),"",VLOOKUP($C216,'FERDİ SONUÇ'!$B$6:$H$862,6,0))</f>
      </c>
      <c r="G216" s="16" t="str">
        <f>IF(OR(E216="",F216="DQ",F216="DNF",F216="DNS",F216=""),"-",VLOOKUP(C216,'FERDİ SONUÇ'!$B$6:$H$862,7,0))</f>
        <v>-</v>
      </c>
      <c r="H216" s="16" t="str">
        <f>IF(OR(E216="",E216="F",F216="DQ",F216="DNF",F216="DNS",F216=""),"-",VLOOKUP(C216,'FERDİ SONUÇ'!$B$6:$H$862,7,0))</f>
        <v>-</v>
      </c>
      <c r="I216" s="18" t="str">
        <f>IF(ISERROR(SMALL(H214:H217,3)),"-",SMALL(H214:H217,3))</f>
        <v>-</v>
      </c>
      <c r="J216" s="20">
        <f>IF(C214="","",IF(OR(I214="-",I215="-",I216="-"),"DQ",SUM(I214,I215,I216)))</f>
      </c>
      <c r="BA216" s="2">
        <v>1314</v>
      </c>
      <c r="BB216" s="51"/>
    </row>
    <row r="217" spans="1:54" ht="15" customHeight="1">
      <c r="A217" s="13"/>
      <c r="B217" s="14"/>
      <c r="C217" s="141"/>
      <c r="D217" s="15">
        <f>IF(ISERROR(VLOOKUP($C217,'START LİSTE'!$B$6:$F$1027,2,0)),"",VLOOKUP($C217,'START LİSTE'!$B$6:$F$1027,2,0))</f>
      </c>
      <c r="E217" s="16">
        <f>IF(ISERROR(VLOOKUP($C217,'START LİSTE'!$B$6:$F$1027,4,0)),"",VLOOKUP($C217,'START LİSTE'!$B$6:$F$1027,4,0))</f>
      </c>
      <c r="F217" s="108">
        <f>IF(ISERROR(VLOOKUP($C217,'FERDİ SONUÇ'!$B$6:$H$862,6,0)),"",VLOOKUP($C217,'FERDİ SONUÇ'!$B$6:$H$862,6,0))</f>
      </c>
      <c r="G217" s="16" t="str">
        <f>IF(OR(E217="",F217="DQ",F217="DNF",F217="DNS",F217=""),"-",VLOOKUP(C217,'FERDİ SONUÇ'!$B$6:$H$862,7,0))</f>
        <v>-</v>
      </c>
      <c r="H217" s="16" t="str">
        <f>IF(OR(E217="",E217="F",F217="DQ",F217="DNF",F217="DNS",F217=""),"-",VLOOKUP(C217,'FERDİ SONUÇ'!$B$6:$H$862,7,0))</f>
        <v>-</v>
      </c>
      <c r="I217" s="18" t="str">
        <f>IF(ISERROR(SMALL(H214:H217,4)),"-",SMALL(H214:H217,4))</f>
        <v>-</v>
      </c>
      <c r="J217" s="19"/>
      <c r="BA217" s="2">
        <v>1315</v>
      </c>
      <c r="BB217" s="52"/>
    </row>
    <row r="218" spans="1:54" ht="15" customHeight="1">
      <c r="A218" s="6"/>
      <c r="B218" s="7"/>
      <c r="C218" s="140"/>
      <c r="D218" s="8">
        <f>IF(ISERROR(VLOOKUP($C218,'START LİSTE'!$B$6:$F$1027,2,0)),"",VLOOKUP($C218,'START LİSTE'!$B$6:$F$1027,2,0))</f>
      </c>
      <c r="E218" s="9">
        <f>IF(ISERROR(VLOOKUP($C218,'START LİSTE'!$B$6:$F$1027,4,0)),"",VLOOKUP($C218,'START LİSTE'!$B$6:$F$1027,4,0))</f>
      </c>
      <c r="F218" s="107">
        <f>IF(ISERROR(VLOOKUP($C218,'FERDİ SONUÇ'!$B$6:$H$862,6,0)),"",VLOOKUP($C218,'FERDİ SONUÇ'!$B$6:$H$862,6,0))</f>
      </c>
      <c r="G218" s="9" t="str">
        <f>IF(OR(E218="",F218="DQ",F218="DNF",F218="DNS",F218=""),"-",VLOOKUP(C218,'FERDİ SONUÇ'!$B$6:$H$862,7,0))</f>
        <v>-</v>
      </c>
      <c r="H218" s="9" t="str">
        <f>IF(OR(E218="",E218="F",F218="DQ",F218="DNF",F218="DNS",F218=""),"-",VLOOKUP(C218,'FERDİ SONUÇ'!$B$6:$H$862,7,0))</f>
        <v>-</v>
      </c>
      <c r="I218" s="11" t="str">
        <f>IF(ISERROR(SMALL(H218:H221,1)),"-",SMALL(H218:H221,1))</f>
        <v>-</v>
      </c>
      <c r="J218" s="12"/>
      <c r="BA218" s="2">
        <v>1318</v>
      </c>
      <c r="BB218" s="50"/>
    </row>
    <row r="219" spans="1:54" ht="15" customHeight="1">
      <c r="A219" s="13"/>
      <c r="B219" s="14"/>
      <c r="C219" s="141"/>
      <c r="D219" s="15">
        <f>IF(ISERROR(VLOOKUP($C219,'START LİSTE'!$B$6:$F$1027,2,0)),"",VLOOKUP($C219,'START LİSTE'!$B$6:$F$1027,2,0))</f>
      </c>
      <c r="E219" s="16">
        <f>IF(ISERROR(VLOOKUP($C219,'START LİSTE'!$B$6:$F$1027,4,0)),"",VLOOKUP($C219,'START LİSTE'!$B$6:$F$1027,4,0))</f>
      </c>
      <c r="F219" s="108">
        <f>IF(ISERROR(VLOOKUP($C219,'FERDİ SONUÇ'!$B$6:$H$862,6,0)),"",VLOOKUP($C219,'FERDİ SONUÇ'!$B$6:$H$862,6,0))</f>
      </c>
      <c r="G219" s="16" t="str">
        <f>IF(OR(E219="",F219="DQ",F219="DNF",F219="DNS",F219=""),"-",VLOOKUP(C219,'FERDİ SONUÇ'!$B$6:$H$862,7,0))</f>
        <v>-</v>
      </c>
      <c r="H219" s="16" t="str">
        <f>IF(OR(E219="",E219="F",F219="DQ",F219="DNF",F219="DNS",F219=""),"-",VLOOKUP(C219,'FERDİ SONUÇ'!$B$6:$H$862,7,0))</f>
        <v>-</v>
      </c>
      <c r="I219" s="18" t="str">
        <f>IF(ISERROR(SMALL(H218:H221,2)),"-",SMALL(H218:H221,2))</f>
        <v>-</v>
      </c>
      <c r="J219" s="19"/>
      <c r="BA219" s="2">
        <v>1319</v>
      </c>
      <c r="BB219" s="51"/>
    </row>
    <row r="220" spans="1:54" ht="15" customHeight="1">
      <c r="A220" s="30">
        <f>IF(AND(B220&lt;&gt;"",J220&lt;&gt;"DQ"),COUNT(J$6:J$245)-(RANK(J220,J$6:J$245)+COUNTIF(J$6:J220,J220))+2,IF(C218&lt;&gt;"",BA220,""))</f>
      </c>
      <c r="B220" s="14">
        <f>IF(ISERROR(VLOOKUP(C218,'START LİSTE'!$B$6:$F$1027,3,0)),"",VLOOKUP(C218,'START LİSTE'!$B$6:$F$1027,3,0))</f>
      </c>
      <c r="C220" s="141"/>
      <c r="D220" s="15">
        <f>IF(ISERROR(VLOOKUP($C220,'START LİSTE'!$B$6:$F$1027,2,0)),"",VLOOKUP($C220,'START LİSTE'!$B$6:$F$1027,2,0))</f>
      </c>
      <c r="E220" s="16">
        <f>IF(ISERROR(VLOOKUP($C220,'START LİSTE'!$B$6:$F$1027,4,0)),"",VLOOKUP($C220,'START LİSTE'!$B$6:$F$1027,4,0))</f>
      </c>
      <c r="F220" s="108">
        <f>IF(ISERROR(VLOOKUP($C220,'FERDİ SONUÇ'!$B$6:$H$862,6,0)),"",VLOOKUP($C220,'FERDİ SONUÇ'!$B$6:$H$862,6,0))</f>
      </c>
      <c r="G220" s="16" t="str">
        <f>IF(OR(E220="",F220="DQ",F220="DNF",F220="DNS",F220=""),"-",VLOOKUP(C220,'FERDİ SONUÇ'!$B$6:$H$862,7,0))</f>
        <v>-</v>
      </c>
      <c r="H220" s="16" t="str">
        <f>IF(OR(E220="",E220="F",F220="DQ",F220="DNF",F220="DNS",F220=""),"-",VLOOKUP(C220,'FERDİ SONUÇ'!$B$6:$H$862,7,0))</f>
        <v>-</v>
      </c>
      <c r="I220" s="18" t="str">
        <f>IF(ISERROR(SMALL(H218:H221,3)),"-",SMALL(H218:H221,3))</f>
        <v>-</v>
      </c>
      <c r="J220" s="20">
        <f>IF(C218="","",IF(OR(I218="-",I219="-",I220="-"),"DQ",SUM(I218,I219,I220)))</f>
      </c>
      <c r="BA220" s="2">
        <v>1320</v>
      </c>
      <c r="BB220" s="51"/>
    </row>
    <row r="221" spans="1:54" ht="15" customHeight="1">
      <c r="A221" s="13"/>
      <c r="B221" s="14"/>
      <c r="C221" s="141"/>
      <c r="D221" s="15">
        <f>IF(ISERROR(VLOOKUP($C221,'START LİSTE'!$B$6:$F$1027,2,0)),"",VLOOKUP($C221,'START LİSTE'!$B$6:$F$1027,2,0))</f>
      </c>
      <c r="E221" s="16">
        <f>IF(ISERROR(VLOOKUP($C221,'START LİSTE'!$B$6:$F$1027,4,0)),"",VLOOKUP($C221,'START LİSTE'!$B$6:$F$1027,4,0))</f>
      </c>
      <c r="F221" s="108">
        <f>IF(ISERROR(VLOOKUP($C221,'FERDİ SONUÇ'!$B$6:$H$862,6,0)),"",VLOOKUP($C221,'FERDİ SONUÇ'!$B$6:$H$862,6,0))</f>
      </c>
      <c r="G221" s="16" t="str">
        <f>IF(OR(E221="",F221="DQ",F221="DNF",F221="DNS",F221=""),"-",VLOOKUP(C221,'FERDİ SONUÇ'!$B$6:$H$862,7,0))</f>
        <v>-</v>
      </c>
      <c r="H221" s="16" t="str">
        <f>IF(OR(E221="",E221="F",F221="DQ",F221="DNF",F221="DNS",F221=""),"-",VLOOKUP(C221,'FERDİ SONUÇ'!$B$6:$H$862,7,0))</f>
        <v>-</v>
      </c>
      <c r="I221" s="18" t="str">
        <f>IF(ISERROR(SMALL(H218:H221,4)),"-",SMALL(H218:H221,4))</f>
        <v>-</v>
      </c>
      <c r="J221" s="19"/>
      <c r="BA221" s="2">
        <v>1321</v>
      </c>
      <c r="BB221" s="52"/>
    </row>
    <row r="222" spans="1:54" ht="15" customHeight="1">
      <c r="A222" s="6"/>
      <c r="B222" s="7"/>
      <c r="C222" s="140"/>
      <c r="D222" s="8">
        <f>IF(ISERROR(VLOOKUP($C222,'START LİSTE'!$B$6:$F$1027,2,0)),"",VLOOKUP($C222,'START LİSTE'!$B$6:$F$1027,2,0))</f>
      </c>
      <c r="E222" s="9">
        <f>IF(ISERROR(VLOOKUP($C222,'START LİSTE'!$B$6:$F$1027,4,0)),"",VLOOKUP($C222,'START LİSTE'!$B$6:$F$1027,4,0))</f>
      </c>
      <c r="F222" s="107">
        <f>IF(ISERROR(VLOOKUP($C222,'FERDİ SONUÇ'!$B$6:$H$862,6,0)),"",VLOOKUP($C222,'FERDİ SONUÇ'!$B$6:$H$862,6,0))</f>
      </c>
      <c r="G222" s="9" t="str">
        <f>IF(OR(E222="",F222="DQ",F222="DNF",F222="DNS",F222=""),"-",VLOOKUP(C222,'FERDİ SONUÇ'!$B$6:$H$862,7,0))</f>
        <v>-</v>
      </c>
      <c r="H222" s="9" t="str">
        <f>IF(OR(E222="",E222="F",F222="DQ",F222="DNF",F222="DNS",F222=""),"-",VLOOKUP(C222,'FERDİ SONUÇ'!$B$6:$H$862,7,0))</f>
        <v>-</v>
      </c>
      <c r="I222" s="11" t="str">
        <f>IF(ISERROR(SMALL(H222:H225,1)),"-",SMALL(H222:H225,1))</f>
        <v>-</v>
      </c>
      <c r="J222" s="12"/>
      <c r="BA222" s="2">
        <v>1324</v>
      </c>
      <c r="BB222" s="50"/>
    </row>
    <row r="223" spans="1:54" ht="15" customHeight="1">
      <c r="A223" s="13"/>
      <c r="B223" s="14"/>
      <c r="C223" s="141"/>
      <c r="D223" s="15">
        <f>IF(ISERROR(VLOOKUP($C223,'START LİSTE'!$B$6:$F$1027,2,0)),"",VLOOKUP($C223,'START LİSTE'!$B$6:$F$1027,2,0))</f>
      </c>
      <c r="E223" s="16">
        <f>IF(ISERROR(VLOOKUP($C223,'START LİSTE'!$B$6:$F$1027,4,0)),"",VLOOKUP($C223,'START LİSTE'!$B$6:$F$1027,4,0))</f>
      </c>
      <c r="F223" s="108">
        <f>IF(ISERROR(VLOOKUP($C223,'FERDİ SONUÇ'!$B$6:$H$862,6,0)),"",VLOOKUP($C223,'FERDİ SONUÇ'!$B$6:$H$862,6,0))</f>
      </c>
      <c r="G223" s="16" t="str">
        <f>IF(OR(E223="",F223="DQ",F223="DNF",F223="DNS",F223=""),"-",VLOOKUP(C223,'FERDİ SONUÇ'!$B$6:$H$862,7,0))</f>
        <v>-</v>
      </c>
      <c r="H223" s="16" t="str">
        <f>IF(OR(E223="",E223="F",F223="DQ",F223="DNF",F223="DNS",F223=""),"-",VLOOKUP(C223,'FERDİ SONUÇ'!$B$6:$H$862,7,0))</f>
        <v>-</v>
      </c>
      <c r="I223" s="18" t="str">
        <f>IF(ISERROR(SMALL(H222:H225,2)),"-",SMALL(H222:H225,2))</f>
        <v>-</v>
      </c>
      <c r="J223" s="19"/>
      <c r="BA223" s="2">
        <v>1325</v>
      </c>
      <c r="BB223" s="51"/>
    </row>
    <row r="224" spans="1:54" ht="15" customHeight="1">
      <c r="A224" s="30">
        <f>IF(AND(B224&lt;&gt;"",J224&lt;&gt;"DQ"),COUNT(J$6:J$245)-(RANK(J224,J$6:J$245)+COUNTIF(J$6:J224,J224))+2,IF(C222&lt;&gt;"",BA224,""))</f>
      </c>
      <c r="B224" s="14">
        <f>IF(ISERROR(VLOOKUP(C222,'START LİSTE'!$B$6:$F$1027,3,0)),"",VLOOKUP(C222,'START LİSTE'!$B$6:$F$1027,3,0))</f>
      </c>
      <c r="C224" s="141"/>
      <c r="D224" s="15">
        <f>IF(ISERROR(VLOOKUP($C224,'START LİSTE'!$B$6:$F$1027,2,0)),"",VLOOKUP($C224,'START LİSTE'!$B$6:$F$1027,2,0))</f>
      </c>
      <c r="E224" s="16">
        <f>IF(ISERROR(VLOOKUP($C224,'START LİSTE'!$B$6:$F$1027,4,0)),"",VLOOKUP($C224,'START LİSTE'!$B$6:$F$1027,4,0))</f>
      </c>
      <c r="F224" s="108">
        <f>IF(ISERROR(VLOOKUP($C224,'FERDİ SONUÇ'!$B$6:$H$862,6,0)),"",VLOOKUP($C224,'FERDİ SONUÇ'!$B$6:$H$862,6,0))</f>
      </c>
      <c r="G224" s="16" t="str">
        <f>IF(OR(E224="",F224="DQ",F224="DNF",F224="DNS",F224=""),"-",VLOOKUP(C224,'FERDİ SONUÇ'!$B$6:$H$862,7,0))</f>
        <v>-</v>
      </c>
      <c r="H224" s="16" t="str">
        <f>IF(OR(E224="",E224="F",F224="DQ",F224="DNF",F224="DNS",F224=""),"-",VLOOKUP(C224,'FERDİ SONUÇ'!$B$6:$H$862,7,0))</f>
        <v>-</v>
      </c>
      <c r="I224" s="18" t="str">
        <f>IF(ISERROR(SMALL(H222:H225,3)),"-",SMALL(H222:H225,3))</f>
        <v>-</v>
      </c>
      <c r="J224" s="20">
        <f>IF(C222="","",IF(OR(I222="-",I223="-",I224="-"),"DQ",SUM(I222,I223,I224)))</f>
      </c>
      <c r="BA224" s="2">
        <v>1326</v>
      </c>
      <c r="BB224" s="51"/>
    </row>
    <row r="225" spans="1:54" ht="15" customHeight="1">
      <c r="A225" s="13"/>
      <c r="B225" s="14"/>
      <c r="C225" s="141"/>
      <c r="D225" s="15">
        <f>IF(ISERROR(VLOOKUP($C225,'START LİSTE'!$B$6:$F$1027,2,0)),"",VLOOKUP($C225,'START LİSTE'!$B$6:$F$1027,2,0))</f>
      </c>
      <c r="E225" s="16">
        <f>IF(ISERROR(VLOOKUP($C225,'START LİSTE'!$B$6:$F$1027,4,0)),"",VLOOKUP($C225,'START LİSTE'!$B$6:$F$1027,4,0))</f>
      </c>
      <c r="F225" s="108">
        <f>IF(ISERROR(VLOOKUP($C225,'FERDİ SONUÇ'!$B$6:$H$862,6,0)),"",VLOOKUP($C225,'FERDİ SONUÇ'!$B$6:$H$862,6,0))</f>
      </c>
      <c r="G225" s="16" t="str">
        <f>IF(OR(E225="",F225="DQ",F225="DNF",F225="DNS",F225=""),"-",VLOOKUP(C225,'FERDİ SONUÇ'!$B$6:$H$862,7,0))</f>
        <v>-</v>
      </c>
      <c r="H225" s="16" t="str">
        <f>IF(OR(E225="",E225="F",F225="DQ",F225="DNF",F225="DNS",F225=""),"-",VLOOKUP(C225,'FERDİ SONUÇ'!$B$6:$H$862,7,0))</f>
        <v>-</v>
      </c>
      <c r="I225" s="18" t="str">
        <f>IF(ISERROR(SMALL(H222:H225,4)),"-",SMALL(H222:H225,4))</f>
        <v>-</v>
      </c>
      <c r="J225" s="19"/>
      <c r="BA225" s="2">
        <v>1327</v>
      </c>
      <c r="BB225" s="52"/>
    </row>
    <row r="226" spans="1:54" ht="15" customHeight="1">
      <c r="A226" s="6"/>
      <c r="B226" s="7"/>
      <c r="C226" s="140"/>
      <c r="D226" s="8">
        <f>IF(ISERROR(VLOOKUP($C226,'START LİSTE'!$B$6:$F$1027,2,0)),"",VLOOKUP($C226,'START LİSTE'!$B$6:$F$1027,2,0))</f>
      </c>
      <c r="E226" s="9">
        <f>IF(ISERROR(VLOOKUP($C226,'START LİSTE'!$B$6:$F$1027,4,0)),"",VLOOKUP($C226,'START LİSTE'!$B$6:$F$1027,4,0))</f>
      </c>
      <c r="F226" s="107">
        <f>IF(ISERROR(VLOOKUP($C226,'FERDİ SONUÇ'!$B$6:$H$862,6,0)),"",VLOOKUP($C226,'FERDİ SONUÇ'!$B$6:$H$862,6,0))</f>
      </c>
      <c r="G226" s="9" t="str">
        <f>IF(OR(E226="",F226="DQ",F226="DNF",F226="DNS",F226=""),"-",VLOOKUP(C226,'FERDİ SONUÇ'!$B$6:$H$862,7,0))</f>
        <v>-</v>
      </c>
      <c r="H226" s="9" t="str">
        <f>IF(OR(E226="",E226="F",F226="DQ",F226="DNF",F226="DNS",F226=""),"-",VLOOKUP(C226,'FERDİ SONUÇ'!$B$6:$H$862,7,0))</f>
        <v>-</v>
      </c>
      <c r="I226" s="11" t="str">
        <f>IF(ISERROR(SMALL(H226:H229,1)),"-",SMALL(H226:H229,1))</f>
        <v>-</v>
      </c>
      <c r="J226" s="12"/>
      <c r="BA226" s="2">
        <v>1330</v>
      </c>
      <c r="BB226" s="50"/>
    </row>
    <row r="227" spans="1:54" ht="15" customHeight="1">
      <c r="A227" s="13"/>
      <c r="B227" s="14"/>
      <c r="C227" s="141"/>
      <c r="D227" s="15">
        <f>IF(ISERROR(VLOOKUP($C227,'START LİSTE'!$B$6:$F$1027,2,0)),"",VLOOKUP($C227,'START LİSTE'!$B$6:$F$1027,2,0))</f>
      </c>
      <c r="E227" s="16">
        <f>IF(ISERROR(VLOOKUP($C227,'START LİSTE'!$B$6:$F$1027,4,0)),"",VLOOKUP($C227,'START LİSTE'!$B$6:$F$1027,4,0))</f>
      </c>
      <c r="F227" s="108">
        <f>IF(ISERROR(VLOOKUP($C227,'FERDİ SONUÇ'!$B$6:$H$862,6,0)),"",VLOOKUP($C227,'FERDİ SONUÇ'!$B$6:$H$862,6,0))</f>
      </c>
      <c r="G227" s="16" t="str">
        <f>IF(OR(E227="",F227="DQ",F227="DNF",F227="DNS",F227=""),"-",VLOOKUP(C227,'FERDİ SONUÇ'!$B$6:$H$862,7,0))</f>
        <v>-</v>
      </c>
      <c r="H227" s="16" t="str">
        <f>IF(OR(E227="",E227="F",F227="DQ",F227="DNF",F227="DNS",F227=""),"-",VLOOKUP(C227,'FERDİ SONUÇ'!$B$6:$H$862,7,0))</f>
        <v>-</v>
      </c>
      <c r="I227" s="18" t="str">
        <f>IF(ISERROR(SMALL(H226:H229,2)),"-",SMALL(H226:H229,2))</f>
        <v>-</v>
      </c>
      <c r="J227" s="19"/>
      <c r="BA227" s="2">
        <v>1331</v>
      </c>
      <c r="BB227" s="51"/>
    </row>
    <row r="228" spans="1:54" ht="15" customHeight="1">
      <c r="A228" s="30">
        <f>IF(AND(B228&lt;&gt;"",J228&lt;&gt;"DQ"),COUNT(J$6:J$245)-(RANK(J228,J$6:J$245)+COUNTIF(J$6:J228,J228))+2,IF(C226&lt;&gt;"",BA228,""))</f>
      </c>
      <c r="B228" s="14">
        <f>IF(ISERROR(VLOOKUP(C226,'START LİSTE'!$B$6:$F$1027,3,0)),"",VLOOKUP(C226,'START LİSTE'!$B$6:$F$1027,3,0))</f>
      </c>
      <c r="C228" s="141"/>
      <c r="D228" s="15">
        <f>IF(ISERROR(VLOOKUP($C228,'START LİSTE'!$B$6:$F$1027,2,0)),"",VLOOKUP($C228,'START LİSTE'!$B$6:$F$1027,2,0))</f>
      </c>
      <c r="E228" s="16">
        <f>IF(ISERROR(VLOOKUP($C228,'START LİSTE'!$B$6:$F$1027,4,0)),"",VLOOKUP($C228,'START LİSTE'!$B$6:$F$1027,4,0))</f>
      </c>
      <c r="F228" s="108">
        <f>IF(ISERROR(VLOOKUP($C228,'FERDİ SONUÇ'!$B$6:$H$862,6,0)),"",VLOOKUP($C228,'FERDİ SONUÇ'!$B$6:$H$862,6,0))</f>
      </c>
      <c r="G228" s="16" t="str">
        <f>IF(OR(E228="",F228="DQ",F228="DNF",F228="DNS",F228=""),"-",VLOOKUP(C228,'FERDİ SONUÇ'!$B$6:$H$862,7,0))</f>
        <v>-</v>
      </c>
      <c r="H228" s="16" t="str">
        <f>IF(OR(E228="",E228="F",F228="DQ",F228="DNF",F228="DNS",F228=""),"-",VLOOKUP(C228,'FERDİ SONUÇ'!$B$6:$H$862,7,0))</f>
        <v>-</v>
      </c>
      <c r="I228" s="18" t="str">
        <f>IF(ISERROR(SMALL(H226:H229,3)),"-",SMALL(H226:H229,3))</f>
        <v>-</v>
      </c>
      <c r="J228" s="20">
        <f>IF(C226="","",IF(OR(I226="-",I227="-",I228="-"),"DQ",SUM(I226,I227,I228)))</f>
      </c>
      <c r="BA228" s="2">
        <v>1332</v>
      </c>
      <c r="BB228" s="51"/>
    </row>
    <row r="229" spans="1:54" ht="15" customHeight="1">
      <c r="A229" s="13"/>
      <c r="B229" s="14"/>
      <c r="C229" s="141"/>
      <c r="D229" s="15">
        <f>IF(ISERROR(VLOOKUP($C229,'START LİSTE'!$B$6:$F$1027,2,0)),"",VLOOKUP($C229,'START LİSTE'!$B$6:$F$1027,2,0))</f>
      </c>
      <c r="E229" s="16">
        <f>IF(ISERROR(VLOOKUP($C229,'START LİSTE'!$B$6:$F$1027,4,0)),"",VLOOKUP($C229,'START LİSTE'!$B$6:$F$1027,4,0))</f>
      </c>
      <c r="F229" s="108">
        <f>IF(ISERROR(VLOOKUP($C229,'FERDİ SONUÇ'!$B$6:$H$862,6,0)),"",VLOOKUP($C229,'FERDİ SONUÇ'!$B$6:$H$862,6,0))</f>
      </c>
      <c r="G229" s="16" t="str">
        <f>IF(OR(E229="",F229="DQ",F229="DNF",F229="DNS",F229=""),"-",VLOOKUP(C229,'FERDİ SONUÇ'!$B$6:$H$862,7,0))</f>
        <v>-</v>
      </c>
      <c r="H229" s="16" t="str">
        <f>IF(OR(E229="",E229="F",F229="DQ",F229="DNF",F229="DNS",F229=""),"-",VLOOKUP(C229,'FERDİ SONUÇ'!$B$6:$H$862,7,0))</f>
        <v>-</v>
      </c>
      <c r="I229" s="18" t="str">
        <f>IF(ISERROR(SMALL(H226:H229,4)),"-",SMALL(H226:H229,4))</f>
        <v>-</v>
      </c>
      <c r="J229" s="19"/>
      <c r="BA229" s="2">
        <v>1333</v>
      </c>
      <c r="BB229" s="52"/>
    </row>
    <row r="230" spans="1:54" ht="15" customHeight="1">
      <c r="A230" s="6"/>
      <c r="B230" s="7"/>
      <c r="C230" s="140"/>
      <c r="D230" s="8">
        <f>IF(ISERROR(VLOOKUP($C230,'START LİSTE'!$B$6:$F$1027,2,0)),"",VLOOKUP($C230,'START LİSTE'!$B$6:$F$1027,2,0))</f>
      </c>
      <c r="E230" s="9">
        <f>IF(ISERROR(VLOOKUP($C230,'START LİSTE'!$B$6:$F$1027,4,0)),"",VLOOKUP($C230,'START LİSTE'!$B$6:$F$1027,4,0))</f>
      </c>
      <c r="F230" s="107">
        <f>IF(ISERROR(VLOOKUP($C230,'FERDİ SONUÇ'!$B$6:$H$862,6,0)),"",VLOOKUP($C230,'FERDİ SONUÇ'!$B$6:$H$862,6,0))</f>
      </c>
      <c r="G230" s="9" t="str">
        <f>IF(OR(E230="",F230="DQ",F230="DNF",F230="DNS",F230=""),"-",VLOOKUP(C230,'FERDİ SONUÇ'!$B$6:$H$862,7,0))</f>
        <v>-</v>
      </c>
      <c r="H230" s="9" t="str">
        <f>IF(OR(E230="",E230="F",F230="DQ",F230="DNF",F230="DNS",F230=""),"-",VLOOKUP(C230,'FERDİ SONUÇ'!$B$6:$H$862,7,0))</f>
        <v>-</v>
      </c>
      <c r="I230" s="11" t="str">
        <f>IF(ISERROR(SMALL(H230:H233,1)),"-",SMALL(H230:H233,1))</f>
        <v>-</v>
      </c>
      <c r="J230" s="12"/>
      <c r="BA230" s="2">
        <v>1336</v>
      </c>
      <c r="BB230" s="50"/>
    </row>
    <row r="231" spans="1:54" ht="15" customHeight="1">
      <c r="A231" s="13"/>
      <c r="B231" s="14"/>
      <c r="C231" s="141"/>
      <c r="D231" s="15">
        <f>IF(ISERROR(VLOOKUP($C231,'START LİSTE'!$B$6:$F$1027,2,0)),"",VLOOKUP($C231,'START LİSTE'!$B$6:$F$1027,2,0))</f>
      </c>
      <c r="E231" s="16">
        <f>IF(ISERROR(VLOOKUP($C231,'START LİSTE'!$B$6:$F$1027,4,0)),"",VLOOKUP($C231,'START LİSTE'!$B$6:$F$1027,4,0))</f>
      </c>
      <c r="F231" s="108">
        <f>IF(ISERROR(VLOOKUP($C231,'FERDİ SONUÇ'!$B$6:$H$862,6,0)),"",VLOOKUP($C231,'FERDİ SONUÇ'!$B$6:$H$862,6,0))</f>
      </c>
      <c r="G231" s="16" t="str">
        <f>IF(OR(E231="",F231="DQ",F231="DNF",F231="DNS",F231=""),"-",VLOOKUP(C231,'FERDİ SONUÇ'!$B$6:$H$862,7,0))</f>
        <v>-</v>
      </c>
      <c r="H231" s="16" t="str">
        <f>IF(OR(E231="",E231="F",F231="DQ",F231="DNF",F231="DNS",F231=""),"-",VLOOKUP(C231,'FERDİ SONUÇ'!$B$6:$H$862,7,0))</f>
        <v>-</v>
      </c>
      <c r="I231" s="18" t="str">
        <f>IF(ISERROR(SMALL(H230:H233,2)),"-",SMALL(H230:H233,2))</f>
        <v>-</v>
      </c>
      <c r="J231" s="19"/>
      <c r="BA231" s="2">
        <v>1337</v>
      </c>
      <c r="BB231" s="51"/>
    </row>
    <row r="232" spans="1:54" ht="15" customHeight="1">
      <c r="A232" s="30">
        <f>IF(AND(B232&lt;&gt;"",J232&lt;&gt;"DQ"),COUNT(J$6:J$245)-(RANK(J232,J$6:J$245)+COUNTIF(J$6:J232,J232))+2,IF(C230&lt;&gt;"",BA232,""))</f>
      </c>
      <c r="B232" s="14">
        <f>IF(ISERROR(VLOOKUP(C230,'START LİSTE'!$B$6:$F$1027,3,0)),"",VLOOKUP(C230,'START LİSTE'!$B$6:$F$1027,3,0))</f>
      </c>
      <c r="C232" s="141"/>
      <c r="D232" s="15">
        <f>IF(ISERROR(VLOOKUP($C232,'START LİSTE'!$B$6:$F$1027,2,0)),"",VLOOKUP($C232,'START LİSTE'!$B$6:$F$1027,2,0))</f>
      </c>
      <c r="E232" s="16">
        <f>IF(ISERROR(VLOOKUP($C232,'START LİSTE'!$B$6:$F$1027,4,0)),"",VLOOKUP($C232,'START LİSTE'!$B$6:$F$1027,4,0))</f>
      </c>
      <c r="F232" s="108">
        <f>IF(ISERROR(VLOOKUP($C232,'FERDİ SONUÇ'!$B$6:$H$862,6,0)),"",VLOOKUP($C232,'FERDİ SONUÇ'!$B$6:$H$862,6,0))</f>
      </c>
      <c r="G232" s="16" t="str">
        <f>IF(OR(E232="",F232="DQ",F232="DNF",F232="DNS",F232=""),"-",VLOOKUP(C232,'FERDİ SONUÇ'!$B$6:$H$862,7,0))</f>
        <v>-</v>
      </c>
      <c r="H232" s="16" t="str">
        <f>IF(OR(E232="",E232="F",F232="DQ",F232="DNF",F232="DNS",F232=""),"-",VLOOKUP(C232,'FERDİ SONUÇ'!$B$6:$H$862,7,0))</f>
        <v>-</v>
      </c>
      <c r="I232" s="18" t="str">
        <f>IF(ISERROR(SMALL(H230:H233,3)),"-",SMALL(H230:H233,3))</f>
        <v>-</v>
      </c>
      <c r="J232" s="20">
        <f>IF(C230="","",IF(OR(I230="-",I231="-",I232="-"),"DQ",SUM(I230,I231,I232)))</f>
      </c>
      <c r="BA232" s="2">
        <v>1338</v>
      </c>
      <c r="BB232" s="51"/>
    </row>
    <row r="233" spans="1:54" ht="15" customHeight="1">
      <c r="A233" s="13"/>
      <c r="B233" s="14"/>
      <c r="C233" s="141"/>
      <c r="D233" s="15">
        <f>IF(ISERROR(VLOOKUP($C233,'START LİSTE'!$B$6:$F$1027,2,0)),"",VLOOKUP($C233,'START LİSTE'!$B$6:$F$1027,2,0))</f>
      </c>
      <c r="E233" s="16">
        <f>IF(ISERROR(VLOOKUP($C233,'START LİSTE'!$B$6:$F$1027,4,0)),"",VLOOKUP($C233,'START LİSTE'!$B$6:$F$1027,4,0))</f>
      </c>
      <c r="F233" s="108">
        <f>IF(ISERROR(VLOOKUP($C233,'FERDİ SONUÇ'!$B$6:$H$862,6,0)),"",VLOOKUP($C233,'FERDİ SONUÇ'!$B$6:$H$862,6,0))</f>
      </c>
      <c r="G233" s="16" t="str">
        <f>IF(OR(E233="",F233="DQ",F233="DNF",F233="DNS",F233=""),"-",VLOOKUP(C233,'FERDİ SONUÇ'!$B$6:$H$862,7,0))</f>
        <v>-</v>
      </c>
      <c r="H233" s="16" t="str">
        <f>IF(OR(E233="",E233="F",F233="DQ",F233="DNF",F233="DNS",F233=""),"-",VLOOKUP(C233,'FERDİ SONUÇ'!$B$6:$H$862,7,0))</f>
        <v>-</v>
      </c>
      <c r="I233" s="18" t="str">
        <f>IF(ISERROR(SMALL(H230:H233,4)),"-",SMALL(H230:H233,4))</f>
        <v>-</v>
      </c>
      <c r="J233" s="19"/>
      <c r="BA233" s="2">
        <v>1339</v>
      </c>
      <c r="BB233" s="52"/>
    </row>
    <row r="234" spans="1:54" ht="15" customHeight="1">
      <c r="A234" s="6"/>
      <c r="B234" s="7"/>
      <c r="C234" s="140"/>
      <c r="D234" s="8">
        <f>IF(ISERROR(VLOOKUP($C234,'START LİSTE'!$B$6:$F$1027,2,0)),"",VLOOKUP($C234,'START LİSTE'!$B$6:$F$1027,2,0))</f>
      </c>
      <c r="E234" s="9">
        <f>IF(ISERROR(VLOOKUP($C234,'START LİSTE'!$B$6:$F$1027,4,0)),"",VLOOKUP($C234,'START LİSTE'!$B$6:$F$1027,4,0))</f>
      </c>
      <c r="F234" s="107">
        <f>IF(ISERROR(VLOOKUP($C234,'FERDİ SONUÇ'!$B$6:$H$862,6,0)),"",VLOOKUP($C234,'FERDİ SONUÇ'!$B$6:$H$862,6,0))</f>
      </c>
      <c r="G234" s="9" t="str">
        <f>IF(OR(E234="",F234="DQ",F234="DNF",F234="DNS",F234=""),"-",VLOOKUP(C234,'FERDİ SONUÇ'!$B$6:$H$862,7,0))</f>
        <v>-</v>
      </c>
      <c r="H234" s="9" t="str">
        <f>IF(OR(E234="",E234="F",F234="DQ",F234="DNF",F234="DNS",F234=""),"-",VLOOKUP(C234,'FERDİ SONUÇ'!$B$6:$H$862,7,0))</f>
        <v>-</v>
      </c>
      <c r="I234" s="11" t="str">
        <f>IF(ISERROR(SMALL(H234:H237,1)),"-",SMALL(H234:H237,1))</f>
        <v>-</v>
      </c>
      <c r="J234" s="12"/>
      <c r="BA234" s="2">
        <v>1342</v>
      </c>
      <c r="BB234" s="50"/>
    </row>
    <row r="235" spans="1:54" ht="15" customHeight="1">
      <c r="A235" s="13"/>
      <c r="B235" s="14"/>
      <c r="C235" s="141"/>
      <c r="D235" s="15">
        <f>IF(ISERROR(VLOOKUP($C235,'START LİSTE'!$B$6:$F$1027,2,0)),"",VLOOKUP($C235,'START LİSTE'!$B$6:$F$1027,2,0))</f>
      </c>
      <c r="E235" s="16">
        <f>IF(ISERROR(VLOOKUP($C235,'START LİSTE'!$B$6:$F$1027,4,0)),"",VLOOKUP($C235,'START LİSTE'!$B$6:$F$1027,4,0))</f>
      </c>
      <c r="F235" s="108">
        <f>IF(ISERROR(VLOOKUP($C235,'FERDİ SONUÇ'!$B$6:$H$862,6,0)),"",VLOOKUP($C235,'FERDİ SONUÇ'!$B$6:$H$862,6,0))</f>
      </c>
      <c r="G235" s="16" t="str">
        <f>IF(OR(E235="",F235="DQ",F235="DNF",F235="DNS",F235=""),"-",VLOOKUP(C235,'FERDİ SONUÇ'!$B$6:$H$862,7,0))</f>
        <v>-</v>
      </c>
      <c r="H235" s="16" t="str">
        <f>IF(OR(E235="",E235="F",F235="DQ",F235="DNF",F235="DNS",F235=""),"-",VLOOKUP(C235,'FERDİ SONUÇ'!$B$6:$H$862,7,0))</f>
        <v>-</v>
      </c>
      <c r="I235" s="18" t="str">
        <f>IF(ISERROR(SMALL(H234:H237,2)),"-",SMALL(H234:H237,2))</f>
        <v>-</v>
      </c>
      <c r="J235" s="19"/>
      <c r="BA235" s="2">
        <v>1343</v>
      </c>
      <c r="BB235" s="51"/>
    </row>
    <row r="236" spans="1:54" ht="15" customHeight="1">
      <c r="A236" s="30">
        <f>IF(AND(B236&lt;&gt;"",J236&lt;&gt;"DQ"),COUNT(J$6:J$245)-(RANK(J236,J$6:J$245)+COUNTIF(J$6:J236,J236))+2,IF(C234&lt;&gt;"",BA236,""))</f>
      </c>
      <c r="B236" s="14">
        <f>IF(ISERROR(VLOOKUP(C234,'START LİSTE'!$B$6:$F$1027,3,0)),"",VLOOKUP(C234,'START LİSTE'!$B$6:$F$1027,3,0))</f>
      </c>
      <c r="C236" s="141"/>
      <c r="D236" s="15">
        <f>IF(ISERROR(VLOOKUP($C236,'START LİSTE'!$B$6:$F$1027,2,0)),"",VLOOKUP($C236,'START LİSTE'!$B$6:$F$1027,2,0))</f>
      </c>
      <c r="E236" s="16">
        <f>IF(ISERROR(VLOOKUP($C236,'START LİSTE'!$B$6:$F$1027,4,0)),"",VLOOKUP($C236,'START LİSTE'!$B$6:$F$1027,4,0))</f>
      </c>
      <c r="F236" s="108">
        <f>IF(ISERROR(VLOOKUP($C236,'FERDİ SONUÇ'!$B$6:$H$862,6,0)),"",VLOOKUP($C236,'FERDİ SONUÇ'!$B$6:$H$862,6,0))</f>
      </c>
      <c r="G236" s="16" t="str">
        <f>IF(OR(E236="",F236="DQ",F236="DNF",F236="DNS",F236=""),"-",VLOOKUP(C236,'FERDİ SONUÇ'!$B$6:$H$862,7,0))</f>
        <v>-</v>
      </c>
      <c r="H236" s="16" t="str">
        <f>IF(OR(E236="",E236="F",F236="DQ",F236="DNF",F236="DNS",F236=""),"-",VLOOKUP(C236,'FERDİ SONUÇ'!$B$6:$H$862,7,0))</f>
        <v>-</v>
      </c>
      <c r="I236" s="18" t="str">
        <f>IF(ISERROR(SMALL(H234:H237,3)),"-",SMALL(H234:H237,3))</f>
        <v>-</v>
      </c>
      <c r="J236" s="20">
        <f>IF(C234="","",IF(OR(I234="-",I235="-",I236="-"),"DQ",SUM(I234,I235,I236)))</f>
      </c>
      <c r="BA236" s="2">
        <v>1344</v>
      </c>
      <c r="BB236" s="51"/>
    </row>
    <row r="237" spans="1:54" ht="15" customHeight="1">
      <c r="A237" s="13"/>
      <c r="B237" s="14"/>
      <c r="C237" s="141"/>
      <c r="D237" s="15">
        <f>IF(ISERROR(VLOOKUP($C237,'START LİSTE'!$B$6:$F$1027,2,0)),"",VLOOKUP($C237,'START LİSTE'!$B$6:$F$1027,2,0))</f>
      </c>
      <c r="E237" s="16">
        <f>IF(ISERROR(VLOOKUP($C237,'START LİSTE'!$B$6:$F$1027,4,0)),"",VLOOKUP($C237,'START LİSTE'!$B$6:$F$1027,4,0))</f>
      </c>
      <c r="F237" s="108">
        <f>IF(ISERROR(VLOOKUP($C237,'FERDİ SONUÇ'!$B$6:$H$862,6,0)),"",VLOOKUP($C237,'FERDİ SONUÇ'!$B$6:$H$862,6,0))</f>
      </c>
      <c r="G237" s="16" t="str">
        <f>IF(OR(E237="",F237="DQ",F237="DNF",F237="DNS",F237=""),"-",VLOOKUP(C237,'FERDİ SONUÇ'!$B$6:$H$862,7,0))</f>
        <v>-</v>
      </c>
      <c r="H237" s="16" t="str">
        <f>IF(OR(E237="",E237="F",F237="DQ",F237="DNF",F237="DNS",F237=""),"-",VLOOKUP(C237,'FERDİ SONUÇ'!$B$6:$H$862,7,0))</f>
        <v>-</v>
      </c>
      <c r="I237" s="18" t="str">
        <f>IF(ISERROR(SMALL(H234:H237,4)),"-",SMALL(H234:H237,4))</f>
        <v>-</v>
      </c>
      <c r="J237" s="19"/>
      <c r="BA237" s="2">
        <v>1345</v>
      </c>
      <c r="BB237" s="52"/>
    </row>
    <row r="238" spans="1:54" ht="15" customHeight="1">
      <c r="A238" s="6"/>
      <c r="B238" s="7"/>
      <c r="C238" s="140"/>
      <c r="D238" s="8">
        <f>IF(ISERROR(VLOOKUP($C238,'START LİSTE'!$B$6:$F$1027,2,0)),"",VLOOKUP($C238,'START LİSTE'!$B$6:$F$1027,2,0))</f>
      </c>
      <c r="E238" s="9">
        <f>IF(ISERROR(VLOOKUP($C238,'START LİSTE'!$B$6:$F$1027,4,0)),"",VLOOKUP($C238,'START LİSTE'!$B$6:$F$1027,4,0))</f>
      </c>
      <c r="F238" s="107">
        <f>IF(ISERROR(VLOOKUP($C238,'FERDİ SONUÇ'!$B$6:$H$862,6,0)),"",VLOOKUP($C238,'FERDİ SONUÇ'!$B$6:$H$862,6,0))</f>
      </c>
      <c r="G238" s="9" t="str">
        <f>IF(OR(E238="",F238="DQ",F238="DNF",F238="DNS",F238=""),"-",VLOOKUP(C238,'FERDİ SONUÇ'!$B$6:$H$862,7,0))</f>
        <v>-</v>
      </c>
      <c r="H238" s="9" t="str">
        <f>IF(OR(E238="",E238="F",F238="DQ",F238="DNF",F238="DNS",F238=""),"-",VLOOKUP(C238,'FERDİ SONUÇ'!$B$6:$H$862,7,0))</f>
        <v>-</v>
      </c>
      <c r="I238" s="11" t="str">
        <f>IF(ISERROR(SMALL(H238:H241,1)),"-",SMALL(H238:H241,1))</f>
        <v>-</v>
      </c>
      <c r="J238" s="12"/>
      <c r="BA238" s="2">
        <v>1348</v>
      </c>
      <c r="BB238" s="50"/>
    </row>
    <row r="239" spans="1:54" ht="15" customHeight="1">
      <c r="A239" s="13"/>
      <c r="B239" s="14"/>
      <c r="C239" s="141"/>
      <c r="D239" s="15">
        <f>IF(ISERROR(VLOOKUP($C239,'START LİSTE'!$B$6:$F$1027,2,0)),"",VLOOKUP($C239,'START LİSTE'!$B$6:$F$1027,2,0))</f>
      </c>
      <c r="E239" s="16">
        <f>IF(ISERROR(VLOOKUP($C239,'START LİSTE'!$B$6:$F$1027,4,0)),"",VLOOKUP($C239,'START LİSTE'!$B$6:$F$1027,4,0))</f>
      </c>
      <c r="F239" s="108">
        <f>IF(ISERROR(VLOOKUP($C239,'FERDİ SONUÇ'!$B$6:$H$862,6,0)),"",VLOOKUP($C239,'FERDİ SONUÇ'!$B$6:$H$862,6,0))</f>
      </c>
      <c r="G239" s="16" t="str">
        <f>IF(OR(E239="",F239="DQ",F239="DNF",F239="DNS",F239=""),"-",VLOOKUP(C239,'FERDİ SONUÇ'!$B$6:$H$862,7,0))</f>
        <v>-</v>
      </c>
      <c r="H239" s="16" t="str">
        <f>IF(OR(E239="",E239="F",F239="DQ",F239="DNF",F239="DNS",F239=""),"-",VLOOKUP(C239,'FERDİ SONUÇ'!$B$6:$H$862,7,0))</f>
        <v>-</v>
      </c>
      <c r="I239" s="18" t="str">
        <f>IF(ISERROR(SMALL(H238:H241,2)),"-",SMALL(H238:H241,2))</f>
        <v>-</v>
      </c>
      <c r="J239" s="19"/>
      <c r="BA239" s="2">
        <v>1349</v>
      </c>
      <c r="BB239" s="51"/>
    </row>
    <row r="240" spans="1:54" ht="15" customHeight="1">
      <c r="A240" s="30">
        <f>IF(AND(B240&lt;&gt;"",J240&lt;&gt;"DQ"),COUNT(J$6:J$245)-(RANK(J240,J$6:J$245)+COUNTIF(J$6:J240,J240))+2,IF(C238&lt;&gt;"",BA240,""))</f>
      </c>
      <c r="B240" s="14">
        <f>IF(ISERROR(VLOOKUP(C238,'START LİSTE'!$B$6:$F$1027,3,0)),"",VLOOKUP(C238,'START LİSTE'!$B$6:$F$1027,3,0))</f>
      </c>
      <c r="C240" s="141"/>
      <c r="D240" s="15">
        <f>IF(ISERROR(VLOOKUP($C240,'START LİSTE'!$B$6:$F$1027,2,0)),"",VLOOKUP($C240,'START LİSTE'!$B$6:$F$1027,2,0))</f>
      </c>
      <c r="E240" s="16">
        <f>IF(ISERROR(VLOOKUP($C240,'START LİSTE'!$B$6:$F$1027,4,0)),"",VLOOKUP($C240,'START LİSTE'!$B$6:$F$1027,4,0))</f>
      </c>
      <c r="F240" s="108">
        <f>IF(ISERROR(VLOOKUP($C240,'FERDİ SONUÇ'!$B$6:$H$862,6,0)),"",VLOOKUP($C240,'FERDİ SONUÇ'!$B$6:$H$862,6,0))</f>
      </c>
      <c r="G240" s="16" t="str">
        <f>IF(OR(E240="",F240="DQ",F240="DNF",F240="DNS",F240=""),"-",VLOOKUP(C240,'FERDİ SONUÇ'!$B$6:$H$862,7,0))</f>
        <v>-</v>
      </c>
      <c r="H240" s="16" t="str">
        <f>IF(OR(E240="",E240="F",F240="DQ",F240="DNF",F240="DNS",F240=""),"-",VLOOKUP(C240,'FERDİ SONUÇ'!$B$6:$H$862,7,0))</f>
        <v>-</v>
      </c>
      <c r="I240" s="18" t="str">
        <f>IF(ISERROR(SMALL(H238:H241,3)),"-",SMALL(H238:H241,3))</f>
        <v>-</v>
      </c>
      <c r="J240" s="20">
        <f>IF(C238="","",IF(OR(I238="-",I239="-",I240="-"),"DQ",SUM(I238,I239,I240)))</f>
      </c>
      <c r="BA240" s="2">
        <v>1350</v>
      </c>
      <c r="BB240" s="51"/>
    </row>
    <row r="241" spans="1:54" ht="15" customHeight="1">
      <c r="A241" s="13"/>
      <c r="B241" s="14"/>
      <c r="C241" s="141"/>
      <c r="D241" s="15">
        <f>IF(ISERROR(VLOOKUP($C241,'START LİSTE'!$B$6:$F$1027,2,0)),"",VLOOKUP($C241,'START LİSTE'!$B$6:$F$1027,2,0))</f>
      </c>
      <c r="E241" s="16">
        <f>IF(ISERROR(VLOOKUP($C241,'START LİSTE'!$B$6:$F$1027,4,0)),"",VLOOKUP($C241,'START LİSTE'!$B$6:$F$1027,4,0))</f>
      </c>
      <c r="F241" s="108">
        <f>IF(ISERROR(VLOOKUP($C241,'FERDİ SONUÇ'!$B$6:$H$862,6,0)),"",VLOOKUP($C241,'FERDİ SONUÇ'!$B$6:$H$862,6,0))</f>
      </c>
      <c r="G241" s="16" t="str">
        <f>IF(OR(E241="",F241="DQ",F241="DNF",F241="DNS",F241=""),"-",VLOOKUP(C241,'FERDİ SONUÇ'!$B$6:$H$862,7,0))</f>
        <v>-</v>
      </c>
      <c r="H241" s="16" t="str">
        <f>IF(OR(E241="",E241="F",F241="DQ",F241="DNF",F241="DNS",F241=""),"-",VLOOKUP(C241,'FERDİ SONUÇ'!$B$6:$H$862,7,0))</f>
        <v>-</v>
      </c>
      <c r="I241" s="18" t="str">
        <f>IF(ISERROR(SMALL(H238:H241,4)),"-",SMALL(H238:H241,4))</f>
        <v>-</v>
      </c>
      <c r="J241" s="19"/>
      <c r="BA241" s="2">
        <v>1351</v>
      </c>
      <c r="BB241" s="52"/>
    </row>
    <row r="242" spans="1:54" ht="15" customHeight="1">
      <c r="A242" s="6"/>
      <c r="B242" s="7"/>
      <c r="C242" s="140"/>
      <c r="D242" s="8">
        <f>IF(ISERROR(VLOOKUP($C242,'START LİSTE'!$B$6:$F$1027,2,0)),"",VLOOKUP($C242,'START LİSTE'!$B$6:$F$1027,2,0))</f>
      </c>
      <c r="E242" s="9">
        <f>IF(ISERROR(VLOOKUP($C242,'START LİSTE'!$B$6:$F$1027,4,0)),"",VLOOKUP($C242,'START LİSTE'!$B$6:$F$1027,4,0))</f>
      </c>
      <c r="F242" s="107">
        <f>IF(ISERROR(VLOOKUP($C242,'FERDİ SONUÇ'!$B$6:$H$862,6,0)),"",VLOOKUP($C242,'FERDİ SONUÇ'!$B$6:$H$862,6,0))</f>
      </c>
      <c r="G242" s="9" t="str">
        <f>IF(OR(E242="",F242="DQ",F242="DNF",F242="DNS",F242=""),"-",VLOOKUP(C242,'FERDİ SONUÇ'!$B$6:$H$862,7,0))</f>
        <v>-</v>
      </c>
      <c r="H242" s="9" t="str">
        <f>IF(OR(E242="",E242="F",F242="DQ",F242="DNF",F242="DNS",F242=""),"-",VLOOKUP(C242,'FERDİ SONUÇ'!$B$6:$H$862,7,0))</f>
        <v>-</v>
      </c>
      <c r="I242" s="11" t="str">
        <f>IF(ISERROR(SMALL(H242:H245,1)),"-",SMALL(H242:H245,1))</f>
        <v>-</v>
      </c>
      <c r="J242" s="12"/>
      <c r="BA242" s="2">
        <v>1354</v>
      </c>
      <c r="BB242" s="50"/>
    </row>
    <row r="243" spans="1:54" ht="15" customHeight="1">
      <c r="A243" s="13"/>
      <c r="B243" s="14"/>
      <c r="C243" s="141"/>
      <c r="D243" s="15">
        <f>IF(ISERROR(VLOOKUP($C243,'START LİSTE'!$B$6:$F$1027,2,0)),"",VLOOKUP($C243,'START LİSTE'!$B$6:$F$1027,2,0))</f>
      </c>
      <c r="E243" s="16">
        <f>IF(ISERROR(VLOOKUP($C243,'START LİSTE'!$B$6:$F$1027,4,0)),"",VLOOKUP($C243,'START LİSTE'!$B$6:$F$1027,4,0))</f>
      </c>
      <c r="F243" s="108">
        <f>IF(ISERROR(VLOOKUP($C243,'FERDİ SONUÇ'!$B$6:$H$862,6,0)),"",VLOOKUP($C243,'FERDİ SONUÇ'!$B$6:$H$862,6,0))</f>
      </c>
      <c r="G243" s="16" t="str">
        <f>IF(OR(E243="",F243="DQ",F243="DNF",F243="DNS",F243=""),"-",VLOOKUP(C243,'FERDİ SONUÇ'!$B$6:$H$862,7,0))</f>
        <v>-</v>
      </c>
      <c r="H243" s="16" t="str">
        <f>IF(OR(E243="",E243="F",F243="DQ",F243="DNF",F243="DNS",F243=""),"-",VLOOKUP(C243,'FERDİ SONUÇ'!$B$6:$H$862,7,0))</f>
        <v>-</v>
      </c>
      <c r="I243" s="18" t="str">
        <f>IF(ISERROR(SMALL(H242:H245,2)),"-",SMALL(H242:H245,2))</f>
        <v>-</v>
      </c>
      <c r="J243" s="19"/>
      <c r="BA243" s="2">
        <v>1355</v>
      </c>
      <c r="BB243" s="51"/>
    </row>
    <row r="244" spans="1:54" ht="15" customHeight="1">
      <c r="A244" s="30">
        <f>IF(AND(B244&lt;&gt;"",J244&lt;&gt;"DQ"),COUNT(J$6:J$245)-(RANK(J244,J$6:J$245)+COUNTIF(J$6:J244,J244))+2,IF(C242&lt;&gt;"",BA244,""))</f>
      </c>
      <c r="B244" s="14">
        <f>IF(ISERROR(VLOOKUP(C242,'START LİSTE'!$B$6:$F$1027,3,0)),"",VLOOKUP(C242,'START LİSTE'!$B$6:$F$1027,3,0))</f>
      </c>
      <c r="C244" s="141"/>
      <c r="D244" s="15">
        <f>IF(ISERROR(VLOOKUP($C244,'START LİSTE'!$B$6:$F$1027,2,0)),"",VLOOKUP($C244,'START LİSTE'!$B$6:$F$1027,2,0))</f>
      </c>
      <c r="E244" s="16">
        <f>IF(ISERROR(VLOOKUP($C244,'START LİSTE'!$B$6:$F$1027,4,0)),"",VLOOKUP($C244,'START LİSTE'!$B$6:$F$1027,4,0))</f>
      </c>
      <c r="F244" s="108">
        <f>IF(ISERROR(VLOOKUP($C244,'FERDİ SONUÇ'!$B$6:$H$862,6,0)),"",VLOOKUP($C244,'FERDİ SONUÇ'!$B$6:$H$862,6,0))</f>
      </c>
      <c r="G244" s="16" t="str">
        <f>IF(OR(E244="",F244="DQ",F244="DNF",F244="DNS",F244=""),"-",VLOOKUP(C244,'FERDİ SONUÇ'!$B$6:$H$862,7,0))</f>
        <v>-</v>
      </c>
      <c r="H244" s="16" t="str">
        <f>IF(OR(E244="",E244="F",F244="DQ",F244="DNF",F244="DNS",F244=""),"-",VLOOKUP(C244,'FERDİ SONUÇ'!$B$6:$H$862,7,0))</f>
        <v>-</v>
      </c>
      <c r="I244" s="18" t="str">
        <f>IF(ISERROR(SMALL(H242:H245,3)),"-",SMALL(H242:H245,3))</f>
        <v>-</v>
      </c>
      <c r="J244" s="20">
        <f>IF(C242="","",IF(OR(I242="-",I243="-",I244="-"),"DQ",SUM(I242,I243,I244)))</f>
      </c>
      <c r="BA244" s="2">
        <v>1356</v>
      </c>
      <c r="BB244" s="51"/>
    </row>
    <row r="245" spans="1:54" ht="15" customHeight="1">
      <c r="A245" s="22"/>
      <c r="B245" s="23"/>
      <c r="C245" s="141"/>
      <c r="D245" s="24">
        <f>IF(ISERROR(VLOOKUP($C245,'START LİSTE'!$B$6:$F$1027,2,0)),"",VLOOKUP($C245,'START LİSTE'!$B$6:$F$1027,2,0))</f>
      </c>
      <c r="E245" s="25">
        <f>IF(ISERROR(VLOOKUP($C245,'START LİSTE'!$B$6:$F$1027,4,0)),"",VLOOKUP($C245,'START LİSTE'!$B$6:$F$1027,4,0))</f>
      </c>
      <c r="F245" s="109">
        <f>IF(ISERROR(VLOOKUP($C245,'FERDİ SONUÇ'!$B$6:$H$862,6,0)),"",VLOOKUP($C245,'FERDİ SONUÇ'!$B$6:$H$862,6,0))</f>
      </c>
      <c r="G245" s="25" t="str">
        <f>IF(OR(E245="",F245="DQ",F245="DNF",F245="DNS",F245=""),"-",VLOOKUP(C245,'FERDİ SONUÇ'!$B$6:$H$862,7,0))</f>
        <v>-</v>
      </c>
      <c r="H245" s="25" t="str">
        <f>IF(OR(E245="",E245="F",F245="DQ",F245="DNF",F245="DNS",F245=""),"-",VLOOKUP(C245,'FERDİ SONUÇ'!$B$6:$H$862,7,0))</f>
        <v>-</v>
      </c>
      <c r="I245" s="26" t="str">
        <f>IF(ISERROR(SMALL(H242:H245,4)),"-",SMALL(H242:H245,4))</f>
        <v>-</v>
      </c>
      <c r="J245" s="27"/>
      <c r="BA245" s="2">
        <v>1357</v>
      </c>
      <c r="BB245" s="52"/>
    </row>
  </sheetData>
  <sheetProtection password="EF9D" sheet="1"/>
  <mergeCells count="6">
    <mergeCell ref="A1:J1"/>
    <mergeCell ref="A2:J2"/>
    <mergeCell ref="A3:J3"/>
    <mergeCell ref="A4:B4"/>
    <mergeCell ref="C4:D4"/>
    <mergeCell ref="E4:J4"/>
  </mergeCells>
  <conditionalFormatting sqref="B5">
    <cfRule type="duplicateValues" priority="13" dxfId="19" stopIfTrue="1">
      <formula>AND(COUNTIF($B$5:$B$5,B5)&gt;1,NOT(ISBLANK(B5)))</formula>
    </cfRule>
  </conditionalFormatting>
  <conditionalFormatting sqref="A6:A125">
    <cfRule type="cellIs" priority="3" dxfId="20" operator="greaterThan">
      <formula>1000</formula>
    </cfRule>
  </conditionalFormatting>
  <conditionalFormatting sqref="J6:J125">
    <cfRule type="duplicateValues" priority="130" dxfId="0" stopIfTrue="1">
      <formula>AND(COUNTIF($J$6:$J$125,J6)&gt;1,NOT(ISBLANK(J6)))</formula>
    </cfRule>
  </conditionalFormatting>
  <conditionalFormatting sqref="A126:A245">
    <cfRule type="cellIs" priority="2" dxfId="20" operator="greaterThan">
      <formula>1000</formula>
    </cfRule>
  </conditionalFormatting>
  <conditionalFormatting sqref="J126:J245">
    <cfRule type="duplicateValues" priority="1" dxfId="0" stopIfTrue="1">
      <formula>AND(COUNTIF($J$126:$J$245,J126)&gt;1,NOT(ISBLANK(J126)))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245"/>
  <sheetViews>
    <sheetView view="pageBreakPreview" zoomScaleSheetLayoutView="100" zoomScalePageLayoutView="0" workbookViewId="0" topLeftCell="A1">
      <selection activeCell="M13" sqref="M13"/>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7.125" style="21" customWidth="1"/>
    <col min="6" max="6" width="7.125" style="110" customWidth="1"/>
    <col min="7" max="7" width="6.375" style="21" customWidth="1"/>
    <col min="8" max="8" width="9.125" style="28" customWidth="1"/>
    <col min="9" max="16384" width="9.125" style="21" customWidth="1"/>
  </cols>
  <sheetData>
    <row r="1" spans="1:8" s="1" customFormat="1" ht="30" customHeight="1">
      <c r="A1" s="194" t="str">
        <f>KAPAK!A2</f>
        <v>Türkiye Atletizm Federasyonu
Ankara Atletizm İl Temsilciliği</v>
      </c>
      <c r="B1" s="194"/>
      <c r="C1" s="194"/>
      <c r="D1" s="194"/>
      <c r="E1" s="194"/>
      <c r="F1" s="194"/>
      <c r="G1" s="194"/>
      <c r="H1" s="194"/>
    </row>
    <row r="2" spans="1:8" s="1" customFormat="1" ht="22.5" customHeight="1">
      <c r="A2" s="195" t="str">
        <f>KAPAK!B25</f>
        <v>Atatürk'ü Anma Kros Yarışmaları</v>
      </c>
      <c r="B2" s="195"/>
      <c r="C2" s="195"/>
      <c r="D2" s="195"/>
      <c r="E2" s="195"/>
      <c r="F2" s="195"/>
      <c r="G2" s="195"/>
      <c r="H2" s="195"/>
    </row>
    <row r="3" spans="1:8" s="1" customFormat="1" ht="15.75">
      <c r="A3" s="196" t="str">
        <f>KAPAK!B28</f>
        <v>Ankara</v>
      </c>
      <c r="B3" s="196"/>
      <c r="C3" s="196"/>
      <c r="D3" s="196"/>
      <c r="E3" s="196"/>
      <c r="F3" s="196"/>
      <c r="G3" s="196"/>
      <c r="H3" s="196"/>
    </row>
    <row r="4" spans="1:8" s="145" customFormat="1" ht="17.25" customHeight="1">
      <c r="A4" s="197" t="str">
        <f>KAPAK!B27</f>
        <v>Küçük Erkek</v>
      </c>
      <c r="B4" s="197"/>
      <c r="C4" s="198" t="str">
        <f>KAPAK!B26</f>
        <v>2 Km.</v>
      </c>
      <c r="D4" s="198"/>
      <c r="E4" s="161"/>
      <c r="F4" s="199">
        <f>KAPAK!B29</f>
        <v>41953.40625</v>
      </c>
      <c r="G4" s="199"/>
      <c r="H4" s="199"/>
    </row>
    <row r="5" spans="1:8" s="4" customFormat="1" ht="29.25" customHeight="1">
      <c r="A5" s="146" t="s">
        <v>5</v>
      </c>
      <c r="B5" s="147" t="s">
        <v>29</v>
      </c>
      <c r="C5" s="148" t="s">
        <v>1</v>
      </c>
      <c r="D5" s="147" t="s">
        <v>3</v>
      </c>
      <c r="E5" s="147" t="s">
        <v>8</v>
      </c>
      <c r="F5" s="149" t="s">
        <v>7</v>
      </c>
      <c r="G5" s="150" t="s">
        <v>15</v>
      </c>
      <c r="H5" s="147" t="s">
        <v>6</v>
      </c>
    </row>
    <row r="6" spans="1:8" s="1" customFormat="1" ht="14.25" customHeight="1">
      <c r="A6" s="114"/>
      <c r="B6" s="115"/>
      <c r="C6" s="116">
        <f>IF(A8="","",INDEX('TAKIM KAYIT'!$C$6:$C$245,MATCH(C8,'TAKIM KAYIT'!$C$6:$C$245,0)-2))</f>
        <v>60</v>
      </c>
      <c r="D6" s="117" t="str">
        <f>IF(ISERROR(VLOOKUP($C6,'START LİSTE'!$B$6:$F$1027,2,0)),"",VLOOKUP($C6,'START LİSTE'!$B$6:$F$1027,2,0))</f>
        <v>BEHÇET GÜLTEKİN</v>
      </c>
      <c r="E6" s="118" t="str">
        <f>IF(ISERROR(VLOOKUP($C6,'START LİSTE'!$B$6:$F$1027,4,0)),"",VLOOKUP($C6,'START LİSTE'!$B$6:$F$1027,4,0))</f>
        <v>T</v>
      </c>
      <c r="F6" s="119">
        <f>IF(ISERROR(VLOOKUP($C6,'FERDİ SONUÇ'!$B$6:$H$862,6,0)),"",VLOOKUP($C6,'FERDİ SONUÇ'!$B$6:$H$862,6,0))</f>
        <v>631</v>
      </c>
      <c r="G6" s="120">
        <f>IF(OR(E6="",F6="DQ",F6="DNF",F6="DNS",F6=""),"-",VLOOKUP(C6,'FERDİ SONUÇ'!$B$6:$H$862,7,0))</f>
        <v>2</v>
      </c>
      <c r="H6" s="121"/>
    </row>
    <row r="7" spans="1:8" s="1" customFormat="1" ht="14.25" customHeight="1">
      <c r="A7" s="122"/>
      <c r="B7" s="123"/>
      <c r="C7" s="124">
        <f>IF(A8="","",INDEX('TAKIM KAYIT'!$C$6:$C$245,MATCH(C8,'TAKIM KAYIT'!$C$6:$C$245,0)-1))</f>
        <v>61</v>
      </c>
      <c r="D7" s="125" t="str">
        <f>IF(ISERROR(VLOOKUP($C7,'START LİSTE'!$B$6:$F$1027,2,0)),"",VLOOKUP($C7,'START LİSTE'!$B$6:$F$1027,2,0))</f>
        <v>UMUT GÜLTEKİN</v>
      </c>
      <c r="E7" s="126" t="str">
        <f>IF(ISERROR(VLOOKUP($C7,'START LİSTE'!$B$6:$F$1027,4,0)),"",VLOOKUP($C7,'START LİSTE'!$B$6:$F$1027,4,0))</f>
        <v>T</v>
      </c>
      <c r="F7" s="127">
        <f>IF(ISERROR(VLOOKUP($C7,'FERDİ SONUÇ'!$B$6:$H$862,6,0)),"",VLOOKUP($C7,'FERDİ SONUÇ'!$B$6:$H$862,6,0))</f>
        <v>636</v>
      </c>
      <c r="G7" s="128">
        <f>IF(OR(E7="",F7="DQ",F7="DNF",F7="DNS",F7=""),"-",VLOOKUP(C7,'FERDİ SONUÇ'!$B$6:$H$862,7,0))</f>
        <v>4</v>
      </c>
      <c r="H7" s="129"/>
    </row>
    <row r="8" spans="1:8" s="1" customFormat="1" ht="14.25" customHeight="1">
      <c r="A8" s="122">
        <f>IF(ISERROR(SMALL('TAKIM KAYIT'!$A$6:$A$245,1)),"",SMALL('TAKIM KAYIT'!$A$6:$A$245,1))</f>
        <v>1</v>
      </c>
      <c r="B8" s="123" t="str">
        <f>IF(A8="","",VLOOKUP(A8,'TAKIM KAYIT'!$A$6:$J$245,2,FALSE))</f>
        <v>İSTANBUL İL KARMASI</v>
      </c>
      <c r="C8" s="124">
        <f>IF(A8="","",VLOOKUP(A8,'TAKIM KAYIT'!$A$6:$J$245,3,FALSE))</f>
        <v>62</v>
      </c>
      <c r="D8" s="125" t="str">
        <f>IF(ISERROR(VLOOKUP($C8,'START LİSTE'!$B$6:$F$1027,2,0)),"",VLOOKUP($C8,'START LİSTE'!$B$6:$F$1027,2,0))</f>
        <v>BARIŞ GÜNEŞ</v>
      </c>
      <c r="E8" s="126" t="str">
        <f>IF(ISERROR(VLOOKUP($C8,'START LİSTE'!$B$6:$F$1027,4,0)),"",VLOOKUP($C8,'START LİSTE'!$B$6:$F$1027,4,0))</f>
        <v>T</v>
      </c>
      <c r="F8" s="127">
        <f>IF(ISERROR(VLOOKUP($C8,'FERDİ SONUÇ'!$B$6:$H$862,6,0)),"",VLOOKUP($C8,'FERDİ SONUÇ'!$B$6:$H$862,6,0))</f>
        <v>711</v>
      </c>
      <c r="G8" s="128">
        <f>IF(OR(E8="",F8="DQ",F8="DNF",F8="DNS",F8=""),"-",VLOOKUP(C8,'FERDİ SONUÇ'!$B$6:$H$862,7,0))</f>
        <v>14</v>
      </c>
      <c r="H8" s="129">
        <f>IF(A8="","",VLOOKUP(A8,'TAKIM KAYIT'!$A$6:$K$245,10,FALSE))</f>
        <v>20</v>
      </c>
    </row>
    <row r="9" spans="1:8" s="1" customFormat="1" ht="14.25" customHeight="1">
      <c r="A9" s="122"/>
      <c r="B9" s="123"/>
      <c r="C9" s="124">
        <f>IF(A8="","",INDEX('TAKIM KAYIT'!$C$6:$C$245,MATCH(C8,'TAKIM KAYIT'!$C$6:$C$245,0)+1))</f>
        <v>63</v>
      </c>
      <c r="D9" s="125" t="str">
        <f>IF(ISERROR(VLOOKUP($C9,'START LİSTE'!$B$6:$F$1027,2,0)),"",VLOOKUP($C9,'START LİSTE'!$B$6:$F$1027,2,0))</f>
        <v>RECEP KARABATAK</v>
      </c>
      <c r="E9" s="126" t="str">
        <f>IF(ISERROR(VLOOKUP($C9,'START LİSTE'!$B$6:$F$1027,4,0)),"",VLOOKUP($C9,'START LİSTE'!$B$6:$F$1027,4,0))</f>
        <v>T</v>
      </c>
      <c r="F9" s="127" t="str">
        <f>IF(ISERROR(VLOOKUP($C9,'FERDİ SONUÇ'!$B$6:$H$862,6,0)),"",VLOOKUP($C9,'FERDİ SONUÇ'!$B$6:$H$862,6,0))</f>
        <v>-</v>
      </c>
      <c r="G9" s="128">
        <f>IF(OR(E9="",F9="DQ",F9="DNF",F9="DNS",F9=""),"-",VLOOKUP(C9,'FERDİ SONUÇ'!$B$6:$H$862,7,0))</f>
        <v>25</v>
      </c>
      <c r="H9" s="129"/>
    </row>
    <row r="10" spans="1:8" ht="14.25" customHeight="1">
      <c r="A10" s="114"/>
      <c r="B10" s="115"/>
      <c r="C10" s="116">
        <f>IF(A12="","",INDEX('TAKIM KAYIT'!$C$6:$C$245,MATCH(C12,'TAKIM KAYIT'!$C$6:$C$245,0)-2))</f>
        <v>45</v>
      </c>
      <c r="D10" s="117" t="str">
        <f>IF(ISERROR(VLOOKUP($C10,'START LİSTE'!$B$6:$F$1027,2,0)),"",VLOOKUP($C10,'START LİSTE'!$B$6:$F$1027,2,0))</f>
        <v>ÖZKAN DENİZ</v>
      </c>
      <c r="E10" s="118" t="str">
        <f>IF(ISERROR(VLOOKUP($C10,'START LİSTE'!$B$6:$F$1027,4,0)),"",VLOOKUP($C10,'START LİSTE'!$B$6:$F$1027,4,0))</f>
        <v>T</v>
      </c>
      <c r="F10" s="119">
        <f>IF(ISERROR(VLOOKUP($C10,'FERDİ SONUÇ'!$B$6:$H$862,6,0)),"",VLOOKUP($C10,'FERDİ SONUÇ'!$B$6:$H$862,6,0))</f>
        <v>627</v>
      </c>
      <c r="G10" s="120">
        <f>IF(OR(E10="",F10="DQ",F10="DNF",F10="DNS",F10=""),"-",VLOOKUP(C10,'FERDİ SONUÇ'!$B$6:$H$862,7,0))</f>
        <v>1</v>
      </c>
      <c r="H10" s="121"/>
    </row>
    <row r="11" spans="1:8" ht="14.25" customHeight="1">
      <c r="A11" s="122"/>
      <c r="B11" s="123"/>
      <c r="C11" s="124">
        <f>IF(A12="","",INDEX('TAKIM KAYIT'!$C$6:$C$245,MATCH(C12,'TAKIM KAYIT'!$C$6:$C$245,0)-1))</f>
        <v>46</v>
      </c>
      <c r="D11" s="125" t="str">
        <f>IF(ISERROR(VLOOKUP($C11,'START LİSTE'!$B$6:$F$1027,2,0)),"",VLOOKUP($C11,'START LİSTE'!$B$6:$F$1027,2,0))</f>
        <v>ENBİYA YAZICI</v>
      </c>
      <c r="E11" s="126" t="str">
        <f>IF(ISERROR(VLOOKUP($C11,'START LİSTE'!$B$6:$F$1027,4,0)),"",VLOOKUP($C11,'START LİSTE'!$B$6:$F$1027,4,0))</f>
        <v>T</v>
      </c>
      <c r="F11" s="127">
        <f>IF(ISERROR(VLOOKUP($C11,'FERDİ SONUÇ'!$B$6:$H$862,6,0)),"",VLOOKUP($C11,'FERDİ SONUÇ'!$B$6:$H$862,6,0))</f>
        <v>646</v>
      </c>
      <c r="G11" s="128">
        <f>IF(OR(E11="",F11="DQ",F11="DNF",F11="DNS",F11=""),"-",VLOOKUP(C11,'FERDİ SONUÇ'!$B$6:$H$862,7,0))</f>
        <v>5</v>
      </c>
      <c r="H11" s="129"/>
    </row>
    <row r="12" spans="1:8" ht="14.25" customHeight="1">
      <c r="A12" s="122">
        <f>IF(ISERROR(SMALL('TAKIM KAYIT'!$A$6:$A$245,2)),"",SMALL('TAKIM KAYIT'!$A$6:$A$245,2))</f>
        <v>2</v>
      </c>
      <c r="B12" s="123" t="str">
        <f>IF(A12="","",VLOOKUP(A12,'TAKIM KAYIT'!$A$6:$J$245,2,FALSE))</f>
        <v>ERZURUM</v>
      </c>
      <c r="C12" s="124">
        <f>IF(A12="","",VLOOKUP(A12,'TAKIM KAYIT'!$A$6:$J$245,3,FALSE))</f>
        <v>47</v>
      </c>
      <c r="D12" s="125" t="str">
        <f>IF(ISERROR(VLOOKUP($C12,'START LİSTE'!$B$6:$F$1027,2,0)),"",VLOOKUP($C12,'START LİSTE'!$B$6:$F$1027,2,0))</f>
        <v>MENSUR ÖZDEMİR</v>
      </c>
      <c r="E12" s="126" t="str">
        <f>IF(ISERROR(VLOOKUP($C12,'START LİSTE'!$B$6:$F$1027,4,0)),"",VLOOKUP($C12,'START LİSTE'!$B$6:$F$1027,4,0))</f>
        <v>T</v>
      </c>
      <c r="F12" s="127" t="str">
        <f>IF(ISERROR(VLOOKUP($C12,'FERDİ SONUÇ'!$B$6:$H$862,6,0)),"",VLOOKUP($C12,'FERDİ SONUÇ'!$B$6:$H$862,6,0))</f>
        <v>-</v>
      </c>
      <c r="G12" s="128">
        <f>IF(OR(E12="",F12="DQ",F12="DNF",F12="DNS",F12=""),"-",VLOOKUP(C12,'FERDİ SONUÇ'!$B$6:$H$862,7,0))</f>
        <v>28</v>
      </c>
      <c r="H12" s="129">
        <f>IF(A12="","",VLOOKUP(A12,'TAKIM KAYIT'!$A$6:$J$245,10,FALSE))</f>
        <v>25</v>
      </c>
    </row>
    <row r="13" spans="1:8" ht="14.25" customHeight="1">
      <c r="A13" s="122"/>
      <c r="B13" s="123"/>
      <c r="C13" s="124">
        <f>IF(A12="","",INDEX('TAKIM KAYIT'!$C$6:$C$245,MATCH(C12,'TAKIM KAYIT'!$C$6:$C$245,0)+1))</f>
        <v>101</v>
      </c>
      <c r="D13" s="125" t="str">
        <f>IF(ISERROR(VLOOKUP($C13,'START LİSTE'!$B$6:$F$1027,2,0)),"",VLOOKUP($C13,'START LİSTE'!$B$6:$F$1027,2,0))</f>
        <v>MERT ÇAVUŞ</v>
      </c>
      <c r="E13" s="126" t="str">
        <f>IF(ISERROR(VLOOKUP($C13,'START LİSTE'!$B$6:$F$1027,4,0)),"",VLOOKUP($C13,'START LİSTE'!$B$6:$F$1027,4,0))</f>
        <v>T</v>
      </c>
      <c r="F13" s="127">
        <f>IF(ISERROR(VLOOKUP($C13,'FERDİ SONUÇ'!$B$6:$H$862,6,0)),"",VLOOKUP($C13,'FERDİ SONUÇ'!$B$6:$H$862,6,0))</f>
        <v>716</v>
      </c>
      <c r="G13" s="128">
        <f>IF(OR(E13="",F13="DQ",F13="DNF",F13="DNS",F13=""),"-",VLOOKUP(C13,'FERDİ SONUÇ'!$B$6:$H$862,7,0))</f>
        <v>19</v>
      </c>
      <c r="H13" s="129"/>
    </row>
    <row r="14" spans="1:8" ht="14.25" customHeight="1">
      <c r="A14" s="114"/>
      <c r="B14" s="115"/>
      <c r="C14" s="116">
        <f>IF(A16="","",INDEX('TAKIM KAYIT'!$C$6:$C$245,MATCH(C16,'TAKIM KAYIT'!$C$6:$C$245,0)-2))</f>
        <v>71</v>
      </c>
      <c r="D14" s="117" t="str">
        <f>IF(ISERROR(VLOOKUP($C14,'START LİSTE'!$B$6:$F$1027,2,0)),"",VLOOKUP($C14,'START LİSTE'!$B$6:$F$1027,2,0))</f>
        <v>SAMET TAŞKIN</v>
      </c>
      <c r="E14" s="118" t="str">
        <f>IF(ISERROR(VLOOKUP($C14,'START LİSTE'!$B$6:$F$1027,4,0)),"",VLOOKUP($C14,'START LİSTE'!$B$6:$F$1027,4,0))</f>
        <v>T</v>
      </c>
      <c r="F14" s="119">
        <f>IF(ISERROR(VLOOKUP($C14,'FERDİ SONUÇ'!$B$6:$H$862,6,0)),"",VLOOKUP($C14,'FERDİ SONUÇ'!$B$6:$H$862,6,0))</f>
        <v>634</v>
      </c>
      <c r="G14" s="120">
        <f>IF(OR(E14="",F14="DQ",F14="DNF",F14="DNS",F14=""),"-",VLOOKUP(C14,'FERDİ SONUÇ'!$B$6:$H$862,7,0))</f>
        <v>3</v>
      </c>
      <c r="H14" s="121"/>
    </row>
    <row r="15" spans="1:8" ht="14.25" customHeight="1">
      <c r="A15" s="122"/>
      <c r="B15" s="123"/>
      <c r="C15" s="124">
        <f>IF(A16="","",INDEX('TAKIM KAYIT'!$C$6:$C$245,MATCH(C16,'TAKIM KAYIT'!$C$6:$C$245,0)-1))</f>
        <v>72</v>
      </c>
      <c r="D15" s="125" t="str">
        <f>IF(ISERROR(VLOOKUP($C15,'START LİSTE'!$B$6:$F$1027,2,0)),"",VLOOKUP($C15,'START LİSTE'!$B$6:$F$1027,2,0))</f>
        <v>ÖMER YAVRUTÜRK</v>
      </c>
      <c r="E15" s="126" t="str">
        <f>IF(ISERROR(VLOOKUP($C15,'START LİSTE'!$B$6:$F$1027,4,0)),"",VLOOKUP($C15,'START LİSTE'!$B$6:$F$1027,4,0))</f>
        <v>T</v>
      </c>
      <c r="F15" s="127">
        <f>IF(ISERROR(VLOOKUP($C15,'FERDİ SONUÇ'!$B$6:$H$862,6,0)),"",VLOOKUP($C15,'FERDİ SONUÇ'!$B$6:$H$862,6,0))</f>
        <v>717</v>
      </c>
      <c r="G15" s="128">
        <f>IF(OR(E15="",F15="DQ",F15="DNF",F15="DNS",F15=""),"-",VLOOKUP(C15,'FERDİ SONUÇ'!$B$6:$H$862,7,0))</f>
        <v>20</v>
      </c>
      <c r="H15" s="129"/>
    </row>
    <row r="16" spans="1:8" ht="14.25" customHeight="1">
      <c r="A16" s="122">
        <f>IF(ISERROR(SMALL('TAKIM KAYIT'!$A$6:$A$245,3)),"",SMALL('TAKIM KAYIT'!$A$6:$A$245,3))</f>
        <v>3</v>
      </c>
      <c r="B16" s="123" t="str">
        <f>IF(A16="","",VLOOKUP(A16,'TAKIM KAYIT'!$A$6:$J$245,2,FALSE))</f>
        <v>KOCAELİ</v>
      </c>
      <c r="C16" s="124">
        <f>IF(A16="","",VLOOKUP(A16,'TAKIM KAYIT'!$A$6:$J$245,3,FALSE))</f>
        <v>73</v>
      </c>
      <c r="D16" s="125" t="str">
        <f>IF(ISERROR(VLOOKUP($C16,'START LİSTE'!$B$6:$F$1027,2,0)),"",VLOOKUP($C16,'START LİSTE'!$B$6:$F$1027,2,0))</f>
        <v>YİĞİT KAHRAMAN</v>
      </c>
      <c r="E16" s="126" t="str">
        <f>IF(ISERROR(VLOOKUP($C16,'START LİSTE'!$B$6:$F$1027,4,0)),"",VLOOKUP($C16,'START LİSTE'!$B$6:$F$1027,4,0))</f>
        <v>T</v>
      </c>
      <c r="F16" s="127" t="str">
        <f>IF(ISERROR(VLOOKUP($C16,'FERDİ SONUÇ'!$B$6:$H$862,6,0)),"",VLOOKUP($C16,'FERDİ SONUÇ'!$B$6:$H$862,6,0))</f>
        <v>-</v>
      </c>
      <c r="G16" s="128">
        <f>IF(OR(E16="",F16="DQ",F16="DNF",F16="DNS",F16=""),"-",VLOOKUP(C16,'FERDİ SONUÇ'!$B$6:$H$862,7,0))</f>
        <v>23</v>
      </c>
      <c r="H16" s="129">
        <f>IF(A16="","",VLOOKUP(A16,'TAKIM KAYIT'!$A$6:$K$245,10,FALSE))</f>
        <v>46</v>
      </c>
    </row>
    <row r="17" spans="1:8" ht="14.25" customHeight="1">
      <c r="A17" s="122"/>
      <c r="B17" s="123"/>
      <c r="C17" s="124">
        <f>IF(A16="","",INDEX('TAKIM KAYIT'!$C$6:$C$245,MATCH(C16,'TAKIM KAYIT'!$C$6:$C$245,0)+1))</f>
        <v>74</v>
      </c>
      <c r="D17" s="125" t="str">
        <f>IF(ISERROR(VLOOKUP($C17,'START LİSTE'!$B$6:$F$1027,2,0)),"",VLOOKUP($C17,'START LİSTE'!$B$6:$F$1027,2,0))</f>
        <v>HAMİT BİRLİK</v>
      </c>
      <c r="E17" s="126" t="str">
        <f>IF(ISERROR(VLOOKUP($C17,'START LİSTE'!$B$6:$F$1027,4,0)),"",VLOOKUP($C17,'START LİSTE'!$B$6:$F$1027,4,0))</f>
        <v>T</v>
      </c>
      <c r="F17" s="127" t="str">
        <f>IF(ISERROR(VLOOKUP($C17,'FERDİ SONUÇ'!$B$6:$H$862,6,0)),"",VLOOKUP($C17,'FERDİ SONUÇ'!$B$6:$H$862,6,0))</f>
        <v>-</v>
      </c>
      <c r="G17" s="128">
        <f>IF(OR(E17="",F17="DQ",F17="DNF",F17="DNS",F17=""),"-",VLOOKUP(C17,'FERDİ SONUÇ'!$B$6:$H$862,7,0))</f>
        <v>59</v>
      </c>
      <c r="H17" s="129"/>
    </row>
    <row r="18" spans="1:8" ht="14.25" customHeight="1">
      <c r="A18" s="114"/>
      <c r="B18" s="115"/>
      <c r="C18" s="116">
        <f>IF(A20="","",INDEX('TAKIM KAYIT'!$C$6:$C$245,MATCH(C20,'TAKIM KAYIT'!$C$6:$C$245,0)-2))</f>
        <v>1</v>
      </c>
      <c r="D18" s="117" t="str">
        <f>IF(ISERROR(VLOOKUP($C18,'START LİSTE'!$B$6:$F$1027,2,0)),"",VLOOKUP($C18,'START LİSTE'!$B$6:$F$1027,2,0))</f>
        <v>FATİH YAĞMUR</v>
      </c>
      <c r="E18" s="118" t="str">
        <f>IF(ISERROR(VLOOKUP($C18,'START LİSTE'!$B$6:$F$1027,4,0)),"",VLOOKUP($C18,'START LİSTE'!$B$6:$F$1027,4,0))</f>
        <v>T</v>
      </c>
      <c r="F18" s="119">
        <f>IF(ISERROR(VLOOKUP($C18,'FERDİ SONUÇ'!$B$6:$H$862,6,0)),"",VLOOKUP($C18,'FERDİ SONUÇ'!$B$6:$H$862,6,0))</f>
        <v>648</v>
      </c>
      <c r="G18" s="130">
        <f>IF(OR(E18="",F18="DQ",F18="DNF",F18="DNS",F18=""),"-",VLOOKUP(C18,'FERDİ SONUÇ'!$B$6:$H$862,7,0))</f>
        <v>6</v>
      </c>
      <c r="H18" s="121"/>
    </row>
    <row r="19" spans="1:8" ht="14.25" customHeight="1">
      <c r="A19" s="122"/>
      <c r="B19" s="123"/>
      <c r="C19" s="124">
        <f>IF(A20="","",INDEX('TAKIM KAYIT'!$C$6:$C$245,MATCH(C20,'TAKIM KAYIT'!$C$6:$C$245,0)-1))</f>
        <v>2</v>
      </c>
      <c r="D19" s="125" t="str">
        <f>IF(ISERROR(VLOOKUP($C19,'START LİSTE'!$B$6:$F$1027,2,0)),"",VLOOKUP($C19,'START LİSTE'!$B$6:$F$1027,2,0))</f>
        <v>OKTAY BOZTEPE</v>
      </c>
      <c r="E19" s="126" t="str">
        <f>IF(ISERROR(VLOOKUP($C19,'START LİSTE'!$B$6:$F$1027,4,0)),"",VLOOKUP($C19,'START LİSTE'!$B$6:$F$1027,4,0))</f>
        <v>T</v>
      </c>
      <c r="F19" s="127">
        <f>IF(ISERROR(VLOOKUP($C19,'FERDİ SONUÇ'!$B$6:$H$862,6,0)),"",VLOOKUP($C19,'FERDİ SONUÇ'!$B$6:$H$862,6,0))</f>
        <v>710</v>
      </c>
      <c r="G19" s="131">
        <f>IF(OR(E19="",F19="DQ",F19="DNF",F19="DNS",F19=""),"-",VLOOKUP(C19,'FERDİ SONUÇ'!$B$6:$H$862,7,0))</f>
        <v>13</v>
      </c>
      <c r="H19" s="129"/>
    </row>
    <row r="20" spans="1:8" ht="14.25" customHeight="1">
      <c r="A20" s="122">
        <f>IF(ISERROR(SMALL('TAKIM KAYIT'!$A$6:$A$245,4)),"",SMALL('TAKIM KAYIT'!$A$6:$A$245,4))</f>
        <v>4</v>
      </c>
      <c r="B20" s="123" t="str">
        <f>IF(A20="","",VLOOKUP(A20,'TAKIM KAYIT'!$A$6:$J$245,2,FALSE))</f>
        <v>AĞRI</v>
      </c>
      <c r="C20" s="124">
        <f>IF(A20="","",VLOOKUP(A20,'TAKIM KAYIT'!$A$6:$J$245,3,FALSE))</f>
        <v>3</v>
      </c>
      <c r="D20" s="125" t="str">
        <f>IF(ISERROR(VLOOKUP($C20,'START LİSTE'!$B$6:$F$1027,2,0)),"",VLOOKUP($C20,'START LİSTE'!$B$6:$F$1027,2,0))</f>
        <v>CANER TAŞ</v>
      </c>
      <c r="E20" s="126" t="str">
        <f>IF(ISERROR(VLOOKUP($C20,'START LİSTE'!$B$6:$F$1027,4,0)),"",VLOOKUP($C20,'START LİSTE'!$B$6:$F$1027,4,0))</f>
        <v>T</v>
      </c>
      <c r="F20" s="127" t="str">
        <f>IF(ISERROR(VLOOKUP($C20,'FERDİ SONUÇ'!$B$6:$H$862,6,0)),"",VLOOKUP($C20,'FERDİ SONUÇ'!$B$6:$H$862,6,0))</f>
        <v>-</v>
      </c>
      <c r="G20" s="131">
        <f>IF(OR(E20="",F20="DQ",F20="DNF",F20="DNS",F20=""),"-",VLOOKUP(C20,'FERDİ SONUÇ'!$B$6:$H$862,7,0))</f>
        <v>67</v>
      </c>
      <c r="H20" s="129">
        <f>IF(A20="","",VLOOKUP(A20,'TAKIM KAYIT'!$A$6:$K$245,10,FALSE))</f>
        <v>60</v>
      </c>
    </row>
    <row r="21" spans="1:8" ht="14.25" customHeight="1">
      <c r="A21" s="122"/>
      <c r="B21" s="123"/>
      <c r="C21" s="124">
        <f>IF(A20="","",INDEX('TAKIM KAYIT'!$C$6:$C$245,MATCH(C20,'TAKIM KAYIT'!$C$6:$C$245,0)+1))</f>
        <v>4</v>
      </c>
      <c r="D21" s="125" t="str">
        <f>IF(ISERROR(VLOOKUP($C21,'START LİSTE'!$B$6:$F$1027,2,0)),"",VLOOKUP($C21,'START LİSTE'!$B$6:$F$1027,2,0))</f>
        <v>AZAT TAŞDEMİR</v>
      </c>
      <c r="E21" s="126" t="str">
        <f>IF(ISERROR(VLOOKUP($C21,'START LİSTE'!$B$6:$F$1027,4,0)),"",VLOOKUP($C21,'START LİSTE'!$B$6:$F$1027,4,0))</f>
        <v>T</v>
      </c>
      <c r="F21" s="127" t="str">
        <f>IF(ISERROR(VLOOKUP($C21,'FERDİ SONUÇ'!$B$6:$H$862,6,0)),"",VLOOKUP($C21,'FERDİ SONUÇ'!$B$6:$H$862,6,0))</f>
        <v>-</v>
      </c>
      <c r="G21" s="131">
        <f>IF(OR(E21="",F21="DQ",F21="DNF",F21="DNS",F21=""),"-",VLOOKUP(C21,'FERDİ SONUÇ'!$B$6:$H$862,7,0))</f>
        <v>41</v>
      </c>
      <c r="H21" s="129"/>
    </row>
    <row r="22" spans="1:8" ht="14.25" customHeight="1">
      <c r="A22" s="114"/>
      <c r="B22" s="115"/>
      <c r="C22" s="116">
        <f>IF(A24="","",INDEX('TAKIM KAYIT'!$C$6:$C$245,MATCH(C24,'TAKIM KAYIT'!$C$6:$C$245,0)-2))</f>
        <v>22</v>
      </c>
      <c r="D22" s="117" t="str">
        <f>IF(ISERROR(VLOOKUP($C22,'START LİSTE'!$B$6:$F$1027,2,0)),"",VLOOKUP($C22,'START LİSTE'!$B$6:$F$1027,2,0))</f>
        <v>ŞAHİN DURMAZ</v>
      </c>
      <c r="E22" s="118" t="str">
        <f>IF(ISERROR(VLOOKUP($C22,'START LİSTE'!$B$6:$F$1027,4,0)),"",VLOOKUP($C22,'START LİSTE'!$B$6:$F$1027,4,0))</f>
        <v>T</v>
      </c>
      <c r="F22" s="119">
        <f>IF(ISERROR(VLOOKUP($C22,'FERDİ SONUÇ'!$B$6:$H$862,6,0)),"",VLOOKUP($C22,'FERDİ SONUÇ'!$B$6:$H$862,6,0))</f>
        <v>703</v>
      </c>
      <c r="G22" s="130">
        <f>IF(OR(E22="",F22="DQ",F22="DNF",F22="DNS",F22=""),"-",VLOOKUP(C22,'FERDİ SONUÇ'!$B$6:$H$862,7,0))</f>
        <v>9</v>
      </c>
      <c r="H22" s="121"/>
    </row>
    <row r="23" spans="1:8" ht="14.25" customHeight="1">
      <c r="A23" s="122"/>
      <c r="B23" s="123"/>
      <c r="C23" s="124">
        <f>IF(A24="","",INDEX('TAKIM KAYIT'!$C$6:$C$245,MATCH(C24,'TAKIM KAYIT'!$C$6:$C$245,0)-1))</f>
        <v>23</v>
      </c>
      <c r="D23" s="125" t="str">
        <f>IF(ISERROR(VLOOKUP($C23,'START LİSTE'!$B$6:$F$1027,2,0)),"",VLOOKUP($C23,'START LİSTE'!$B$6:$F$1027,2,0))</f>
        <v>NURULLAH İNAL</v>
      </c>
      <c r="E23" s="126" t="str">
        <f>IF(ISERROR(VLOOKUP($C23,'START LİSTE'!$B$6:$F$1027,4,0)),"",VLOOKUP($C23,'START LİSTE'!$B$6:$F$1027,4,0))</f>
        <v>T</v>
      </c>
      <c r="F23" s="127">
        <f>IF(ISERROR(VLOOKUP($C23,'FERDİ SONUÇ'!$B$6:$H$862,6,0)),"",VLOOKUP($C23,'FERDİ SONUÇ'!$B$6:$H$862,6,0))</f>
        <v>649</v>
      </c>
      <c r="G23" s="131">
        <f>IF(OR(E23="",F23="DQ",F23="DNF",F23="DNS",F23=""),"-",VLOOKUP(C23,'FERDİ SONUÇ'!$B$6:$H$862,7,0))</f>
        <v>7</v>
      </c>
      <c r="H23" s="129"/>
    </row>
    <row r="24" spans="1:8" ht="14.25" customHeight="1">
      <c r="A24" s="122">
        <f>IF(ISERROR(SMALL('TAKIM KAYIT'!$A$6:$A$245,5)),"",SMALL('TAKIM KAYIT'!$A$6:$A$245,5))</f>
        <v>5</v>
      </c>
      <c r="B24" s="123" t="str">
        <f>IF(A24="","",VLOOKUP(A24,'TAKIM KAYIT'!$A$6:$J$245,2,FALSE))</f>
        <v>BATMAN</v>
      </c>
      <c r="C24" s="124">
        <f>IF(A24="","",VLOOKUP(A24,'TAKIM KAYIT'!$A$6:$J$245,3,FALSE))</f>
        <v>24</v>
      </c>
      <c r="D24" s="125" t="str">
        <f>IF(ISERROR(VLOOKUP($C24,'START LİSTE'!$B$6:$F$1027,2,0)),"",VLOOKUP($C24,'START LİSTE'!$B$6:$F$1027,2,0))</f>
        <v>HARUN AL</v>
      </c>
      <c r="E24" s="126" t="str">
        <f>IF(ISERROR(VLOOKUP($C24,'START LİSTE'!$B$6:$F$1027,4,0)),"",VLOOKUP($C24,'START LİSTE'!$B$6:$F$1027,4,0))</f>
        <v>T</v>
      </c>
      <c r="F24" s="127" t="str">
        <f>IF(ISERROR(VLOOKUP($C24,'FERDİ SONUÇ'!$B$6:$H$862,6,0)),"",VLOOKUP($C24,'FERDİ SONUÇ'!$B$6:$H$862,6,0))</f>
        <v>-</v>
      </c>
      <c r="G24" s="131">
        <f>IF(OR(E24="",F24="DQ",F24="DNF",F24="DNS",F24=""),"-",VLOOKUP(C24,'FERDİ SONUÇ'!$B$6:$H$862,7,0))</f>
        <v>50</v>
      </c>
      <c r="H24" s="129">
        <f>IF(A24="","",VLOOKUP(A24,'TAKIM KAYIT'!$A$6:$K$245,10,FALSE))</f>
        <v>66</v>
      </c>
    </row>
    <row r="25" spans="1:8" ht="14.25" customHeight="1">
      <c r="A25" s="122"/>
      <c r="B25" s="123"/>
      <c r="C25" s="124" t="str">
        <f>IF(A24="","",INDEX('TAKIM KAYIT'!$C$6:$C$245,MATCH(C24,'TAKIM KAYIT'!$C$6:$C$245,0)+1))</f>
        <v>-</v>
      </c>
      <c r="D25" s="125" t="str">
        <f>IF(ISERROR(VLOOKUP($C25,'START LİSTE'!$B$6:$F$1027,2,0)),"",VLOOKUP($C25,'START LİSTE'!$B$6:$F$1027,2,0))</f>
        <v>-</v>
      </c>
      <c r="E25" s="126" t="str">
        <f>IF(ISERROR(VLOOKUP($C25,'START LİSTE'!$B$6:$F$1027,4,0)),"",VLOOKUP($C25,'START LİSTE'!$B$6:$F$1027,4,0))</f>
        <v>T</v>
      </c>
      <c r="F25" s="127">
        <f>IF(ISERROR(VLOOKUP($C25,'FERDİ SONUÇ'!$B$6:$H$862,6,0)),"",VLOOKUP($C25,'FERDİ SONUÇ'!$B$6:$H$862,6,0))</f>
      </c>
      <c r="G25" s="131" t="str">
        <f>IF(OR(E25="",F25="DQ",F25="DNF",F25="DNS",F25=""),"-",VLOOKUP(C25,'FERDİ SONUÇ'!$B$6:$H$862,7,0))</f>
        <v>-</v>
      </c>
      <c r="H25" s="129"/>
    </row>
    <row r="26" spans="1:8" ht="14.25" customHeight="1">
      <c r="A26" s="114"/>
      <c r="B26" s="115"/>
      <c r="C26" s="116">
        <f>IF(A28="","",INDEX('TAKIM KAYIT'!$C$6:$C$245,MATCH(C28,'TAKIM KAYIT'!$C$6:$C$245,0)-2))</f>
        <v>56</v>
      </c>
      <c r="D26" s="117" t="str">
        <f>IF(ISERROR(VLOOKUP($C26,'START LİSTE'!$B$6:$F$1027,2,0)),"",VLOOKUP($C26,'START LİSTE'!$B$6:$F$1027,2,0))</f>
        <v>SERKAN ÇEKMEZ</v>
      </c>
      <c r="E26" s="118" t="str">
        <f>IF(ISERROR(VLOOKUP($C26,'START LİSTE'!$B$6:$F$1027,4,0)),"",VLOOKUP($C26,'START LİSTE'!$B$6:$F$1027,4,0))</f>
        <v>T</v>
      </c>
      <c r="F26" s="119">
        <f>IF(ISERROR(VLOOKUP($C26,'FERDİ SONUÇ'!$B$6:$H$862,6,0)),"",VLOOKUP($C26,'FERDİ SONUÇ'!$B$6:$H$862,6,0))</f>
        <v>714</v>
      </c>
      <c r="G26" s="130">
        <f>IF(OR(E26="",F26="DQ",F26="DNF",F26="DNS",F26=""),"-",VLOOKUP(C26,'FERDİ SONUÇ'!$B$6:$H$862,7,0))</f>
        <v>17</v>
      </c>
      <c r="H26" s="121"/>
    </row>
    <row r="27" spans="1:8" ht="14.25" customHeight="1">
      <c r="A27" s="122"/>
      <c r="B27" s="123"/>
      <c r="C27" s="124">
        <f>IF(A28="","",INDEX('TAKIM KAYIT'!$C$6:$C$245,MATCH(C28,'TAKIM KAYIT'!$C$6:$C$245,0)-1))</f>
        <v>57</v>
      </c>
      <c r="D27" s="125" t="str">
        <f>IF(ISERROR(VLOOKUP($C27,'START LİSTE'!$B$6:$F$1027,2,0)),"",VLOOKUP($C27,'START LİSTE'!$B$6:$F$1027,2,0))</f>
        <v>EMİR YILMAZ</v>
      </c>
      <c r="E27" s="126" t="str">
        <f>IF(ISERROR(VLOOKUP($C27,'START LİSTE'!$B$6:$F$1027,4,0)),"",VLOOKUP($C27,'START LİSTE'!$B$6:$F$1027,4,0))</f>
        <v>T</v>
      </c>
      <c r="F27" s="127" t="str">
        <f>IF(ISERROR(VLOOKUP($C27,'FERDİ SONUÇ'!$B$6:$H$862,6,0)),"",VLOOKUP($C27,'FERDİ SONUÇ'!$B$6:$H$862,6,0))</f>
        <v>-</v>
      </c>
      <c r="G27" s="131">
        <f>IF(OR(E27="",F27="DQ",F27="DNF",F27="DNS",F27=""),"-",VLOOKUP(C27,'FERDİ SONUÇ'!$B$6:$H$862,7,0))</f>
        <v>33</v>
      </c>
      <c r="H27" s="129"/>
    </row>
    <row r="28" spans="1:8" ht="14.25" customHeight="1">
      <c r="A28" s="122">
        <f>IF(ISERROR(SMALL('TAKIM KAYIT'!$A$6:$A$245,6)),"",SMALL('TAKIM KAYIT'!$A$6:$A$245,6))</f>
        <v>6</v>
      </c>
      <c r="B28" s="123" t="str">
        <f>IF(A28="","",VLOOKUP(A28,'TAKIM KAYIT'!$A$6:$J$245,2,FALSE))</f>
        <v>ISPARTA-İL KARMASI</v>
      </c>
      <c r="C28" s="124">
        <f>IF(A28="","",VLOOKUP(A28,'TAKIM KAYIT'!$A$6:$J$245,3,FALSE))</f>
        <v>58</v>
      </c>
      <c r="D28" s="125" t="str">
        <f>IF(ISERROR(VLOOKUP($C28,'START LİSTE'!$B$6:$F$1027,2,0)),"",VLOOKUP($C28,'START LİSTE'!$B$6:$F$1027,2,0))</f>
        <v>MUSTAFA YILMAZ</v>
      </c>
      <c r="E28" s="126" t="str">
        <f>IF(ISERROR(VLOOKUP($C28,'START LİSTE'!$B$6:$F$1027,4,0)),"",VLOOKUP($C28,'START LİSTE'!$B$6:$F$1027,4,0))</f>
        <v>T</v>
      </c>
      <c r="F28" s="127" t="str">
        <f>IF(ISERROR(VLOOKUP($C28,'FERDİ SONUÇ'!$B$6:$H$862,6,0)),"",VLOOKUP($C28,'FERDİ SONUÇ'!$B$6:$H$862,6,0))</f>
        <v>DNF</v>
      </c>
      <c r="G28" s="131" t="str">
        <f>IF(OR(E28="",F28="DQ",F28="DNF",F28="DNS",F28=""),"-",VLOOKUP(C28,'FERDİ SONUÇ'!$B$6:$H$862,7,0))</f>
        <v>-</v>
      </c>
      <c r="H28" s="129">
        <f>IF(A28="","",VLOOKUP(A28,'TAKIM KAYIT'!$A$6:$K$245,10,FALSE))</f>
        <v>92</v>
      </c>
    </row>
    <row r="29" spans="1:8" ht="14.25" customHeight="1">
      <c r="A29" s="122"/>
      <c r="B29" s="123"/>
      <c r="C29" s="124">
        <f>IF(A28="","",INDEX('TAKIM KAYIT'!$C$6:$C$245,MATCH(C28,'TAKIM KAYIT'!$C$6:$C$245,0)+1))</f>
        <v>59</v>
      </c>
      <c r="D29" s="125" t="str">
        <f>IF(ISERROR(VLOOKUP($C29,'START LİSTE'!$B$6:$F$1027,2,0)),"",VLOOKUP($C29,'START LİSTE'!$B$6:$F$1027,2,0))</f>
        <v>MUHAMMED FURKAN</v>
      </c>
      <c r="E29" s="126" t="str">
        <f>IF(ISERROR(VLOOKUP($C29,'START LİSTE'!$B$6:$F$1027,4,0)),"",VLOOKUP($C29,'START LİSTE'!$B$6:$F$1027,4,0))</f>
        <v>T</v>
      </c>
      <c r="F29" s="127" t="str">
        <f>IF(ISERROR(VLOOKUP($C29,'FERDİ SONUÇ'!$B$6:$H$862,6,0)),"",VLOOKUP($C29,'FERDİ SONUÇ'!$B$6:$H$862,6,0))</f>
        <v>-</v>
      </c>
      <c r="G29" s="131">
        <f>IF(OR(E29="",F29="DQ",F29="DNF",F29="DNS",F29=""),"-",VLOOKUP(C29,'FERDİ SONUÇ'!$B$6:$H$862,7,0))</f>
        <v>42</v>
      </c>
      <c r="H29" s="129"/>
    </row>
    <row r="30" spans="1:8" ht="14.25" customHeight="1">
      <c r="A30" s="114"/>
      <c r="B30" s="115"/>
      <c r="C30" s="116">
        <f>IF(A32="","",INDEX('TAKIM KAYIT'!$C$6:$C$245,MATCH(C32,'TAKIM KAYIT'!$C$6:$C$245,0)-2))</f>
        <v>90</v>
      </c>
      <c r="D30" s="117" t="str">
        <f>IF(ISERROR(VLOOKUP($C30,'START LİSTE'!$B$6:$F$1027,2,0)),"",VLOOKUP($C30,'START LİSTE'!$B$6:$F$1027,2,0))</f>
        <v>UMUTCAN EROZAN</v>
      </c>
      <c r="E30" s="118" t="str">
        <f>IF(ISERROR(VLOOKUP($C30,'START LİSTE'!$B$6:$F$1027,4,0)),"",VLOOKUP($C30,'START LİSTE'!$B$6:$F$1027,4,0))</f>
        <v>T</v>
      </c>
      <c r="F30" s="119" t="str">
        <f>IF(ISERROR(VLOOKUP($C30,'FERDİ SONUÇ'!$B$6:$H$862,6,0)),"",VLOOKUP($C30,'FERDİ SONUÇ'!$B$6:$H$862,6,0))</f>
        <v>-</v>
      </c>
      <c r="G30" s="130">
        <f>IF(OR(E30="",F30="DQ",F30="DNF",F30="DNS",F30=""),"-",VLOOKUP(C30,'FERDİ SONUÇ'!$B$6:$H$862,7,0))</f>
        <v>26</v>
      </c>
      <c r="H30" s="121"/>
    </row>
    <row r="31" spans="1:8" ht="14.25" customHeight="1">
      <c r="A31" s="122"/>
      <c r="B31" s="123"/>
      <c r="C31" s="124">
        <f>IF(A32="","",INDEX('TAKIM KAYIT'!$C$6:$C$245,MATCH(C32,'TAKIM KAYIT'!$C$6:$C$245,0)-1))</f>
        <v>91</v>
      </c>
      <c r="D31" s="125" t="str">
        <f>IF(ISERROR(VLOOKUP($C31,'START LİSTE'!$B$6:$F$1027,2,0)),"",VLOOKUP($C31,'START LİSTE'!$B$6:$F$1027,2,0))</f>
        <v>FARUK ŞİMŞİEK</v>
      </c>
      <c r="E31" s="126" t="str">
        <f>IF(ISERROR(VLOOKUP($C31,'START LİSTE'!$B$6:$F$1027,4,0)),"",VLOOKUP($C31,'START LİSTE'!$B$6:$F$1027,4,0))</f>
        <v>T</v>
      </c>
      <c r="F31" s="127" t="str">
        <f>IF(ISERROR(VLOOKUP($C31,'FERDİ SONUÇ'!$B$6:$H$862,6,0)),"",VLOOKUP($C31,'FERDİ SONUÇ'!$B$6:$H$862,6,0))</f>
        <v>-</v>
      </c>
      <c r="G31" s="131">
        <f>IF(OR(E31="",F31="DQ",F31="DNF",F31="DNS",F31=""),"-",VLOOKUP(C31,'FERDİ SONUÇ'!$B$6:$H$862,7,0))</f>
        <v>38</v>
      </c>
      <c r="H31" s="129"/>
    </row>
    <row r="32" spans="1:8" ht="14.25" customHeight="1">
      <c r="A32" s="122">
        <f>IF(ISERROR(SMALL('TAKIM KAYIT'!$A$6:$A$245,7)),"",SMALL('TAKIM KAYIT'!$A$6:$A$245,7))</f>
        <v>7</v>
      </c>
      <c r="B32" s="123" t="str">
        <f>IF(A32="","",VLOOKUP(A32,'TAKIM KAYIT'!$A$6:$J$245,2,FALSE))</f>
        <v>NİĞDE</v>
      </c>
      <c r="C32" s="124">
        <f>IF(A32="","",VLOOKUP(A32,'TAKIM KAYIT'!$A$6:$J$245,3,FALSE))</f>
        <v>92</v>
      </c>
      <c r="D32" s="125" t="str">
        <f>IF(ISERROR(VLOOKUP($C32,'START LİSTE'!$B$6:$F$1027,2,0)),"",VLOOKUP($C32,'START LİSTE'!$B$6:$F$1027,2,0))</f>
        <v>MEHMET SEFA TIKIR</v>
      </c>
      <c r="E32" s="126" t="str">
        <f>IF(ISERROR(VLOOKUP($C32,'START LİSTE'!$B$6:$F$1027,4,0)),"",VLOOKUP($C32,'START LİSTE'!$B$6:$F$1027,4,0))</f>
        <v>T</v>
      </c>
      <c r="F32" s="127" t="str">
        <f>IF(ISERROR(VLOOKUP($C32,'FERDİ SONUÇ'!$B$6:$H$862,6,0)),"",VLOOKUP($C32,'FERDİ SONUÇ'!$B$6:$H$862,6,0))</f>
        <v>-</v>
      </c>
      <c r="G32" s="131">
        <f>IF(OR(E32="",F32="DQ",F32="DNF",F32="DNS",F32=""),"-",VLOOKUP(C32,'FERDİ SONUÇ'!$B$6:$H$862,7,0))</f>
        <v>37</v>
      </c>
      <c r="H32" s="129">
        <f>IF(A32="","",VLOOKUP(A32,'TAKIM KAYIT'!$A$6:$K$245,10,FALSE))</f>
        <v>101</v>
      </c>
    </row>
    <row r="33" spans="1:8" ht="14.25" customHeight="1">
      <c r="A33" s="122"/>
      <c r="B33" s="123"/>
      <c r="C33" s="124">
        <f>IF(A32="","",INDEX('TAKIM KAYIT'!$C$6:$C$245,MATCH(C32,'TAKIM KAYIT'!$C$6:$C$245,0)+1))</f>
        <v>93</v>
      </c>
      <c r="D33" s="125" t="str">
        <f>IF(ISERROR(VLOOKUP($C33,'START LİSTE'!$B$6:$F$1027,2,0)),"",VLOOKUP($C33,'START LİSTE'!$B$6:$F$1027,2,0))</f>
        <v>ALİ CEYHAN</v>
      </c>
      <c r="E33" s="126" t="str">
        <f>IF(ISERROR(VLOOKUP($C33,'START LİSTE'!$B$6:$F$1027,4,0)),"",VLOOKUP($C33,'START LİSTE'!$B$6:$F$1027,4,0))</f>
        <v>T</v>
      </c>
      <c r="F33" s="127" t="str">
        <f>IF(ISERROR(VLOOKUP($C33,'FERDİ SONUÇ'!$B$6:$H$862,6,0)),"",VLOOKUP($C33,'FERDİ SONUÇ'!$B$6:$H$862,6,0))</f>
        <v>-</v>
      </c>
      <c r="G33" s="131">
        <f>IF(OR(E33="",F33="DQ",F33="DNF",F33="DNS",F33=""),"-",VLOOKUP(C33,'FERDİ SONUÇ'!$B$6:$H$862,7,0))</f>
        <v>51</v>
      </c>
      <c r="H33" s="129"/>
    </row>
    <row r="34" spans="1:8" ht="14.25" customHeight="1">
      <c r="A34" s="114"/>
      <c r="B34" s="115"/>
      <c r="C34" s="116">
        <f>IF(A36="","",INDEX('TAKIM KAYIT'!$C$6:$C$245,MATCH(C36,'TAKIM KAYIT'!$C$6:$C$245,0)-2))</f>
        <v>94</v>
      </c>
      <c r="D34" s="117" t="str">
        <f>IF(ISERROR(VLOOKUP($C34,'START LİSTE'!$B$6:$F$1027,2,0)),"",VLOOKUP($C34,'START LİSTE'!$B$6:$F$1027,2,0))</f>
        <v>RAMAZAN TETİK</v>
      </c>
      <c r="E34" s="118" t="str">
        <f>IF(ISERROR(VLOOKUP($C34,'START LİSTE'!$B$6:$F$1027,4,0)),"",VLOOKUP($C34,'START LİSTE'!$B$6:$F$1027,4,0))</f>
        <v>T</v>
      </c>
      <c r="F34" s="119" t="str">
        <f>IF(ISERROR(VLOOKUP($C34,'FERDİ SONUÇ'!$B$6:$H$862,6,0)),"",VLOOKUP($C34,'FERDİ SONUÇ'!$B$6:$H$862,6,0))</f>
        <v>-</v>
      </c>
      <c r="G34" s="130">
        <f>IF(OR(E34="",F34="DQ",F34="DNF",F34="DNS",F34=""),"-",VLOOKUP(C34,'FERDİ SONUÇ'!$B$6:$H$862,7,0))</f>
        <v>32</v>
      </c>
      <c r="H34" s="121"/>
    </row>
    <row r="35" spans="1:8" ht="14.25" customHeight="1">
      <c r="A35" s="122"/>
      <c r="B35" s="123"/>
      <c r="C35" s="124">
        <f>IF(A36="","",INDEX('TAKIM KAYIT'!$C$6:$C$245,MATCH(C36,'TAKIM KAYIT'!$C$6:$C$245,0)-1))</f>
        <v>95</v>
      </c>
      <c r="D35" s="125" t="str">
        <f>IF(ISERROR(VLOOKUP($C35,'START LİSTE'!$B$6:$F$1027,2,0)),"",VLOOKUP($C35,'START LİSTE'!$B$6:$F$1027,2,0))</f>
        <v>UĞUR TAŞ</v>
      </c>
      <c r="E35" s="126" t="str">
        <f>IF(ISERROR(VLOOKUP($C35,'START LİSTE'!$B$6:$F$1027,4,0)),"",VLOOKUP($C35,'START LİSTE'!$B$6:$F$1027,4,0))</f>
        <v>T</v>
      </c>
      <c r="F35" s="127" t="str">
        <f>IF(ISERROR(VLOOKUP($C35,'FERDİ SONUÇ'!$B$6:$H$862,6,0)),"",VLOOKUP($C35,'FERDİ SONUÇ'!$B$6:$H$862,6,0))</f>
        <v>-</v>
      </c>
      <c r="G35" s="131">
        <f>IF(OR(E35="",F35="DQ",F35="DNF",F35="DNS",F35=""),"-",VLOOKUP(C35,'FERDİ SONUÇ'!$B$6:$H$862,7,0))</f>
        <v>39</v>
      </c>
      <c r="H35" s="129"/>
    </row>
    <row r="36" spans="1:8" ht="14.25" customHeight="1">
      <c r="A36" s="122">
        <f>IF(ISERROR(SMALL('TAKIM KAYIT'!$A$6:$A$245,8)),"",SMALL('TAKIM KAYIT'!$A$6:$A$245,8))</f>
        <v>8</v>
      </c>
      <c r="B36" s="123" t="str">
        <f>IF(A36="","",VLOOKUP(A36,'TAKIM KAYIT'!$A$6:$J$245,2,FALSE))</f>
        <v>SİİRT</v>
      </c>
      <c r="C36" s="124">
        <f>IF(A36="","",VLOOKUP(A36,'TAKIM KAYIT'!$A$6:$J$245,3,FALSE))</f>
        <v>96</v>
      </c>
      <c r="D36" s="125" t="str">
        <f>IF(ISERROR(VLOOKUP($C36,'START LİSTE'!$B$6:$F$1027,2,0)),"",VLOOKUP($C36,'START LİSTE'!$B$6:$F$1027,2,0))</f>
        <v>MUSTAFA GÜRHAN</v>
      </c>
      <c r="E36" s="126" t="str">
        <f>IF(ISERROR(VLOOKUP($C36,'START LİSTE'!$B$6:$F$1027,4,0)),"",VLOOKUP($C36,'START LİSTE'!$B$6:$F$1027,4,0))</f>
        <v>T</v>
      </c>
      <c r="F36" s="127" t="str">
        <f>IF(ISERROR(VLOOKUP($C36,'FERDİ SONUÇ'!$B$6:$H$862,6,0)),"",VLOOKUP($C36,'FERDİ SONUÇ'!$B$6:$H$862,6,0))</f>
        <v>DQ</v>
      </c>
      <c r="G36" s="131" t="str">
        <f>IF(OR(E36="",F36="DQ",F36="DNF",F36="DNS",F36=""),"-",VLOOKUP(C36,'FERDİ SONUÇ'!$B$6:$H$862,7,0))</f>
        <v>-</v>
      </c>
      <c r="H36" s="129">
        <f>IF(A36="","",VLOOKUP(A36,'TAKIM KAYIT'!$A$6:$K$245,10,FALSE))</f>
        <v>105</v>
      </c>
    </row>
    <row r="37" spans="1:8" ht="14.25" customHeight="1">
      <c r="A37" s="132"/>
      <c r="B37" s="133"/>
      <c r="C37" s="134">
        <f>IF(A36="","",INDEX('TAKIM KAYIT'!$C$6:$C$245,MATCH(C36,'TAKIM KAYIT'!$C$6:$C$245,0)+1))</f>
        <v>97</v>
      </c>
      <c r="D37" s="135" t="str">
        <f>IF(ISERROR(VLOOKUP($C37,'START LİSTE'!$B$6:$F$1027,2,0)),"",VLOOKUP($C37,'START LİSTE'!$B$6:$F$1027,2,0))</f>
        <v>DOĞAN KALKAN</v>
      </c>
      <c r="E37" s="136" t="str">
        <f>IF(ISERROR(VLOOKUP($C37,'START LİSTE'!$B$6:$F$1027,4,0)),"",VLOOKUP($C37,'START LİSTE'!$B$6:$F$1027,4,0))</f>
        <v>T</v>
      </c>
      <c r="F37" s="137" t="str">
        <f>IF(ISERROR(VLOOKUP($C37,'FERDİ SONUÇ'!$B$6:$H$862,6,0)),"",VLOOKUP($C37,'FERDİ SONUÇ'!$B$6:$H$862,6,0))</f>
        <v>-</v>
      </c>
      <c r="G37" s="138">
        <f>IF(OR(E37="",F37="DQ",F37="DNF",F37="DNS",F37=""),"-",VLOOKUP(C37,'FERDİ SONUÇ'!$B$6:$H$862,7,0))</f>
        <v>34</v>
      </c>
      <c r="H37" s="139"/>
    </row>
    <row r="38" spans="1:8" ht="14.25" customHeight="1">
      <c r="A38" s="114"/>
      <c r="B38" s="115"/>
      <c r="C38" s="116">
        <f>IF(A40="","",INDEX('TAKIM KAYIT'!$C$6:$C$245,MATCH(C40,'TAKIM KAYIT'!$C$6:$C$245,0)-2))</f>
        <v>5</v>
      </c>
      <c r="D38" s="117" t="str">
        <f>IF(ISERROR(VLOOKUP($C38,'START LİSTE'!$B$6:$F$1027,2,0)),"",VLOOKUP($C38,'START LİSTE'!$B$6:$F$1027,2,0))</f>
        <v>NEJDET DİKER</v>
      </c>
      <c r="E38" s="118" t="str">
        <f>IF(ISERROR(VLOOKUP($C38,'START LİSTE'!$B$6:$F$1027,4,0)),"",VLOOKUP($C38,'START LİSTE'!$B$6:$F$1027,4,0))</f>
        <v>T</v>
      </c>
      <c r="F38" s="119">
        <f>IF(ISERROR(VLOOKUP($C38,'FERDİ SONUÇ'!$B$6:$H$862,6,0)),"",VLOOKUP($C38,'FERDİ SONUÇ'!$B$6:$H$862,6,0))</f>
        <v>713</v>
      </c>
      <c r="G38" s="130">
        <f>IF(OR(E38="",F38="DQ",F38="DNF",F38="DNS",F38=""),"-",VLOOKUP(C38,'FERDİ SONUÇ'!$B$6:$H$862,7,0))</f>
        <v>16</v>
      </c>
      <c r="H38" s="121"/>
    </row>
    <row r="39" spans="1:8" ht="14.25" customHeight="1">
      <c r="A39" s="122"/>
      <c r="B39" s="123"/>
      <c r="C39" s="124">
        <f>IF(A40="","",INDEX('TAKIM KAYIT'!$C$6:$C$245,MATCH(C40,'TAKIM KAYIT'!$C$6:$C$245,0)-1))</f>
        <v>6</v>
      </c>
      <c r="D39" s="125" t="str">
        <f>IF(ISERROR(VLOOKUP($C39,'START LİSTE'!$B$6:$F$1027,2,0)),"",VLOOKUP($C39,'START LİSTE'!$B$6:$F$1027,2,0))</f>
        <v>MERT MUSA DİKER</v>
      </c>
      <c r="E39" s="126" t="str">
        <f>IF(ISERROR(VLOOKUP($C39,'START LİSTE'!$B$6:$F$1027,4,0)),"",VLOOKUP($C39,'START LİSTE'!$B$6:$F$1027,4,0))</f>
        <v>T</v>
      </c>
      <c r="F39" s="127" t="str">
        <f>IF(ISERROR(VLOOKUP($C39,'FERDİ SONUÇ'!$B$6:$H$862,6,0)),"",VLOOKUP($C39,'FERDİ SONUÇ'!$B$6:$H$862,6,0))</f>
        <v>-</v>
      </c>
      <c r="G39" s="131">
        <f>IF(OR(E39="",F39="DQ",F39="DNF",F39="DNS",F39=""),"-",VLOOKUP(C39,'FERDİ SONUÇ'!$B$6:$H$862,7,0))</f>
        <v>64</v>
      </c>
      <c r="H39" s="129"/>
    </row>
    <row r="40" spans="1:8" ht="14.25" customHeight="1">
      <c r="A40" s="122">
        <f>IF(ISERROR(SMALL('TAKIM KAYIT'!$A$6:$A$245,9)),"",SMALL('TAKIM KAYIT'!$A$6:$A$245,9))</f>
        <v>9</v>
      </c>
      <c r="B40" s="123" t="str">
        <f>IF(A40="","",VLOOKUP(A40,'TAKIM KAYIT'!$A$6:$J$245,2,FALSE))</f>
        <v>AKSARAY</v>
      </c>
      <c r="C40" s="124">
        <f>IF(A40="","",VLOOKUP(A40,'TAKIM KAYIT'!$A$6:$J$245,3,FALSE))</f>
        <v>7</v>
      </c>
      <c r="D40" s="125" t="str">
        <f>IF(ISERROR(VLOOKUP($C40,'START LİSTE'!$B$6:$F$1027,2,0)),"",VLOOKUP($C40,'START LİSTE'!$B$6:$F$1027,2,0))</f>
        <v>ALİ ÖZKARA</v>
      </c>
      <c r="E40" s="126" t="str">
        <f>IF(ISERROR(VLOOKUP($C40,'START LİSTE'!$B$6:$F$1027,4,0)),"",VLOOKUP($C40,'START LİSTE'!$B$6:$F$1027,4,0))</f>
        <v>T</v>
      </c>
      <c r="F40" s="127" t="str">
        <f>IF(ISERROR(VLOOKUP($C40,'FERDİ SONUÇ'!$B$6:$H$862,6,0)),"",VLOOKUP($C40,'FERDİ SONUÇ'!$B$6:$H$862,6,0))</f>
        <v>-</v>
      </c>
      <c r="G40" s="131">
        <f>IF(OR(E40="",F40="DQ",F40="DNF",F40="DNS",F40=""),"-",VLOOKUP(C40,'FERDİ SONUÇ'!$B$6:$H$862,7,0))</f>
        <v>49</v>
      </c>
      <c r="H40" s="129">
        <f>IF(A40="","",VLOOKUP(A40,'TAKIM KAYIT'!$A$6:$K$245,10,FALSE))</f>
        <v>129</v>
      </c>
    </row>
    <row r="41" spans="1:8" ht="14.25" customHeight="1">
      <c r="A41" s="122"/>
      <c r="B41" s="123"/>
      <c r="C41" s="124" t="str">
        <f>IF(A40="","",INDEX('TAKIM KAYIT'!$C$6:$C$245,MATCH(C40,'TAKIM KAYIT'!$C$6:$C$245,0)+1))</f>
        <v>-</v>
      </c>
      <c r="D41" s="125" t="str">
        <f>IF(ISERROR(VLOOKUP($C41,'START LİSTE'!$B$6:$F$1027,2,0)),"",VLOOKUP($C41,'START LİSTE'!$B$6:$F$1027,2,0))</f>
        <v>-</v>
      </c>
      <c r="E41" s="126" t="str">
        <f>IF(ISERROR(VLOOKUP($C41,'START LİSTE'!$B$6:$F$1027,4,0)),"",VLOOKUP($C41,'START LİSTE'!$B$6:$F$1027,4,0))</f>
        <v>T</v>
      </c>
      <c r="F41" s="127">
        <f>IF(ISERROR(VLOOKUP($C41,'FERDİ SONUÇ'!$B$6:$H$862,6,0)),"",VLOOKUP($C41,'FERDİ SONUÇ'!$B$6:$H$862,6,0))</f>
      </c>
      <c r="G41" s="131" t="str">
        <f>IF(OR(E41="",F41="DQ",F41="DNF",F41="DNS",F41=""),"-",VLOOKUP(C41,'FERDİ SONUÇ'!$B$6:$H$862,7,0))</f>
        <v>-</v>
      </c>
      <c r="H41" s="129"/>
    </row>
    <row r="42" spans="1:8" ht="14.25" customHeight="1">
      <c r="A42" s="114"/>
      <c r="B42" s="115"/>
      <c r="C42" s="116">
        <f>IF(A44="","",INDEX('TAKIM KAYIT'!$C$6:$C$245,MATCH(C44,'TAKIM KAYIT'!$C$6:$C$245,0)-2))</f>
        <v>102</v>
      </c>
      <c r="D42" s="117" t="str">
        <f>IF(ISERROR(VLOOKUP($C42,'START LİSTE'!$B$6:$F$1027,2,0)),"",VLOOKUP($C42,'START LİSTE'!$B$6:$F$1027,2,0))</f>
        <v>RAHMİ DOĞAN</v>
      </c>
      <c r="E42" s="118" t="str">
        <f>IF(ISERROR(VLOOKUP($C42,'START LİSTE'!$B$6:$F$1027,4,0)),"",VLOOKUP($C42,'START LİSTE'!$B$6:$F$1027,4,0))</f>
        <v>T</v>
      </c>
      <c r="F42" s="119" t="str">
        <f>IF(ISERROR(VLOOKUP($C42,'FERDİ SONUÇ'!$B$6:$H$862,6,0)),"",VLOOKUP($C42,'FERDİ SONUÇ'!$B$6:$H$862,6,0))</f>
        <v>-</v>
      </c>
      <c r="G42" s="130">
        <f>IF(OR(E42="",F42="DQ",F42="DNF",F42="DNS",F42=""),"-",VLOOKUP(C42,'FERDİ SONUÇ'!$B$6:$H$862,7,0))</f>
        <v>55</v>
      </c>
      <c r="H42" s="121"/>
    </row>
    <row r="43" spans="1:8" ht="14.25" customHeight="1">
      <c r="A43" s="122"/>
      <c r="B43" s="123"/>
      <c r="C43" s="124">
        <f>IF(A44="","",INDEX('TAKIM KAYIT'!$C$6:$C$245,MATCH(C44,'TAKIM KAYIT'!$C$6:$C$245,0)-1))</f>
        <v>103</v>
      </c>
      <c r="D43" s="125" t="str">
        <f>IF(ISERROR(VLOOKUP($C43,'START LİSTE'!$B$6:$F$1027,2,0)),"",VLOOKUP($C43,'START LİSTE'!$B$6:$F$1027,2,0))</f>
        <v>EMRE YILMAZ</v>
      </c>
      <c r="E43" s="126" t="str">
        <f>IF(ISERROR(VLOOKUP($C43,'START LİSTE'!$B$6:$F$1027,4,0)),"",VLOOKUP($C43,'START LİSTE'!$B$6:$F$1027,4,0))</f>
        <v>T</v>
      </c>
      <c r="F43" s="127" t="str">
        <f>IF(ISERROR(VLOOKUP($C43,'FERDİ SONUÇ'!$B$6:$H$862,6,0)),"",VLOOKUP($C43,'FERDİ SONUÇ'!$B$6:$H$862,6,0))</f>
        <v>-</v>
      </c>
      <c r="G43" s="131">
        <f>IF(OR(E43="",F43="DQ",F43="DNF",F43="DNS",F43=""),"-",VLOOKUP(C43,'FERDİ SONUÇ'!$B$6:$H$862,7,0))</f>
        <v>22</v>
      </c>
      <c r="H43" s="129"/>
    </row>
    <row r="44" spans="1:8" ht="14.25" customHeight="1">
      <c r="A44" s="43">
        <f>IF(ISERROR(SMALL('TAKIM KAYIT'!$A$6:$A$245,10)),"",SMALL('TAKIM KAYIT'!$A$6:$A$245,10))</f>
        <v>10</v>
      </c>
      <c r="B44" s="123" t="str">
        <f>IF(A44="","",VLOOKUP(A44,'TAKIM KAYIT'!$A$6:$J$245,2,FALSE))</f>
        <v>SİVAS İL KARMASI</v>
      </c>
      <c r="C44" s="124">
        <f>IF(A44="","",VLOOKUP(A44,'TAKIM KAYIT'!$A$6:$J$245,3,FALSE))</f>
        <v>104</v>
      </c>
      <c r="D44" s="125" t="str">
        <f>IF(ISERROR(VLOOKUP($C44,'START LİSTE'!$B$6:$F$1027,2,0)),"",VLOOKUP($C44,'START LİSTE'!$B$6:$F$1027,2,0))</f>
        <v>AHMET KARA</v>
      </c>
      <c r="E44" s="126" t="str">
        <f>IF(ISERROR(VLOOKUP($C44,'START LİSTE'!$B$6:$F$1027,4,0)),"",VLOOKUP($C44,'START LİSTE'!$B$6:$F$1027,4,0))</f>
        <v>T</v>
      </c>
      <c r="F44" s="127" t="str">
        <f>IF(ISERROR(VLOOKUP($C44,'FERDİ SONUÇ'!$B$6:$H$862,6,0)),"",VLOOKUP($C44,'FERDİ SONUÇ'!$B$6:$H$862,6,0))</f>
        <v>-</v>
      </c>
      <c r="G44" s="131">
        <f>IF(OR(E44="",F44="DQ",F44="DNF",F44="DNS",F44=""),"-",VLOOKUP(C44,'FERDİ SONUÇ'!$B$6:$H$862,7,0))</f>
        <v>53</v>
      </c>
      <c r="H44" s="129">
        <f>IF(A44="","",VLOOKUP(A44,'TAKIM KAYIT'!$A$6:$K$245,10,FALSE))</f>
        <v>130</v>
      </c>
    </row>
    <row r="45" spans="1:8" ht="14.25" customHeight="1">
      <c r="A45" s="122"/>
      <c r="B45" s="123"/>
      <c r="C45" s="124" t="str">
        <f>IF(A44="","",INDEX('TAKIM KAYIT'!$C$6:$C$245,MATCH(C44,'TAKIM KAYIT'!$C$6:$C$245,0)+1))</f>
        <v>-</v>
      </c>
      <c r="D45" s="125" t="str">
        <f>IF(ISERROR(VLOOKUP($C45,'START LİSTE'!$B$6:$F$1027,2,0)),"",VLOOKUP($C45,'START LİSTE'!$B$6:$F$1027,2,0))</f>
        <v>-</v>
      </c>
      <c r="E45" s="126" t="str">
        <f>IF(ISERROR(VLOOKUP($C45,'START LİSTE'!$B$6:$F$1027,4,0)),"",VLOOKUP($C45,'START LİSTE'!$B$6:$F$1027,4,0))</f>
        <v>T</v>
      </c>
      <c r="F45" s="127">
        <f>IF(ISERROR(VLOOKUP($C45,'FERDİ SONUÇ'!$B$6:$H$862,6,0)),"",VLOOKUP($C45,'FERDİ SONUÇ'!$B$6:$H$862,6,0))</f>
      </c>
      <c r="G45" s="131" t="str">
        <f>IF(OR(E45="",F45="DQ",F45="DNF",F45="DNS",F45=""),"-",VLOOKUP(C45,'FERDİ SONUÇ'!$B$6:$H$862,7,0))</f>
        <v>-</v>
      </c>
      <c r="H45" s="129"/>
    </row>
    <row r="46" spans="1:8" ht="14.25" customHeight="1">
      <c r="A46" s="114"/>
      <c r="B46" s="115"/>
      <c r="C46" s="116">
        <f>IF(A48="","",INDEX('TAKIM KAYIT'!$C$6:$C$245,MATCH(C48,'TAKIM KAYIT'!$C$6:$C$245,0)-2))</f>
        <v>12</v>
      </c>
      <c r="D46" s="117" t="str">
        <f>IF(ISERROR(VLOOKUP($C46,'START LİSTE'!$B$6:$F$1027,2,0)),"",VLOOKUP($C46,'START LİSTE'!$B$6:$F$1027,2,0))</f>
        <v>ALPER YILDIRIM</v>
      </c>
      <c r="E46" s="118" t="str">
        <f>IF(ISERROR(VLOOKUP($C46,'START LİSTE'!$B$6:$F$1027,4,0)),"",VLOOKUP($C46,'START LİSTE'!$B$6:$F$1027,4,0))</f>
        <v>T</v>
      </c>
      <c r="F46" s="119" t="str">
        <f>IF(ISERROR(VLOOKUP($C46,'FERDİ SONUÇ'!$B$6:$H$862,6,0)),"",VLOOKUP($C46,'FERDİ SONUÇ'!$B$6:$H$862,6,0))</f>
        <v>-</v>
      </c>
      <c r="G46" s="130">
        <f>IF(OR(E46="",F46="DQ",F46="DNF",F46="DNS",F46=""),"-",VLOOKUP(C46,'FERDİ SONUÇ'!$B$6:$H$862,7,0))</f>
        <v>36</v>
      </c>
      <c r="H46" s="121"/>
    </row>
    <row r="47" spans="1:8" ht="14.25" customHeight="1">
      <c r="A47" s="122"/>
      <c r="B47" s="123"/>
      <c r="C47" s="124">
        <f>IF(A48="","",INDEX('TAKIM KAYIT'!$C$6:$C$245,MATCH(C48,'TAKIM KAYIT'!$C$6:$C$245,0)-1))</f>
        <v>13</v>
      </c>
      <c r="D47" s="125" t="str">
        <f>IF(ISERROR(VLOOKUP($C47,'START LİSTE'!$B$6:$F$1027,2,0)),"",VLOOKUP($C47,'START LİSTE'!$B$6:$F$1027,2,0))</f>
        <v>ALPEREN AKTAŞ</v>
      </c>
      <c r="E47" s="126" t="str">
        <f>IF(ISERROR(VLOOKUP($C47,'START LİSTE'!$B$6:$F$1027,4,0)),"",VLOOKUP($C47,'START LİSTE'!$B$6:$F$1027,4,0))</f>
        <v>T</v>
      </c>
      <c r="F47" s="127" t="str">
        <f>IF(ISERROR(VLOOKUP($C47,'FERDİ SONUÇ'!$B$6:$H$862,6,0)),"",VLOOKUP($C47,'FERDİ SONUÇ'!$B$6:$H$862,6,0))</f>
        <v>-</v>
      </c>
      <c r="G47" s="131">
        <f>IF(OR(E47="",F47="DQ",F47="DNF",F47="DNS",F47=""),"-",VLOOKUP(C47,'FERDİ SONUÇ'!$B$6:$H$862,7,0))</f>
        <v>31</v>
      </c>
      <c r="H47" s="129"/>
    </row>
    <row r="48" spans="1:8" ht="14.25" customHeight="1">
      <c r="A48" s="43">
        <f>IF(ISERROR(SMALL('TAKIM KAYIT'!$A$6:$A$245,11)),"",SMALL('TAKIM KAYIT'!$A$6:$A$245,11))</f>
        <v>11</v>
      </c>
      <c r="B48" s="123" t="str">
        <f>IF(A48="","",VLOOKUP(A48,'TAKIM KAYIT'!$A$6:$J$245,2,FALSE))</f>
        <v>ANTALYA</v>
      </c>
      <c r="C48" s="124">
        <f>IF(A48="","",VLOOKUP(A48,'TAKIM KAYIT'!$A$6:$J$245,3,FALSE))</f>
        <v>14</v>
      </c>
      <c r="D48" s="125" t="str">
        <f>IF(ISERROR(VLOOKUP($C48,'START LİSTE'!$B$6:$F$1027,2,0)),"",VLOOKUP($C48,'START LİSTE'!$B$6:$F$1027,2,0))</f>
        <v>GÖKSEL MIH</v>
      </c>
      <c r="E48" s="126" t="str">
        <f>IF(ISERROR(VLOOKUP($C48,'START LİSTE'!$B$6:$F$1027,4,0)),"",VLOOKUP($C48,'START LİSTE'!$B$6:$F$1027,4,0))</f>
        <v>T</v>
      </c>
      <c r="F48" s="127" t="str">
        <f>IF(ISERROR(VLOOKUP($C48,'FERDİ SONUÇ'!$B$6:$H$862,6,0)),"",VLOOKUP($C48,'FERDİ SONUÇ'!$B$6:$H$862,6,0))</f>
        <v>-</v>
      </c>
      <c r="G48" s="131">
        <f>IF(OR(E48="",F48="DQ",F48="DNF",F48="DNS",F48=""),"-",VLOOKUP(C48,'FERDİ SONUÇ'!$B$6:$H$862,7,0))</f>
        <v>63</v>
      </c>
      <c r="H48" s="129">
        <f>IF(A48="","",VLOOKUP(A48,'TAKIM KAYIT'!$A$6:$K$245,10,FALSE))</f>
        <v>130</v>
      </c>
    </row>
    <row r="49" spans="1:8" ht="14.25" customHeight="1">
      <c r="A49" s="122"/>
      <c r="B49" s="123"/>
      <c r="C49" s="124" t="str">
        <f>IF(A48="","",INDEX('TAKIM KAYIT'!$C$6:$C$245,MATCH(C48,'TAKIM KAYIT'!$C$6:$C$245,0)+1))</f>
        <v>-</v>
      </c>
      <c r="D49" s="125" t="str">
        <f>IF(ISERROR(VLOOKUP($C49,'START LİSTE'!$B$6:$F$1027,2,0)),"",VLOOKUP($C49,'START LİSTE'!$B$6:$F$1027,2,0))</f>
        <v>-</v>
      </c>
      <c r="E49" s="126" t="str">
        <f>IF(ISERROR(VLOOKUP($C49,'START LİSTE'!$B$6:$F$1027,4,0)),"",VLOOKUP($C49,'START LİSTE'!$B$6:$F$1027,4,0))</f>
        <v>T</v>
      </c>
      <c r="F49" s="127">
        <f>IF(ISERROR(VLOOKUP($C49,'FERDİ SONUÇ'!$B$6:$H$862,6,0)),"",VLOOKUP($C49,'FERDİ SONUÇ'!$B$6:$H$862,6,0))</f>
      </c>
      <c r="G49" s="131" t="str">
        <f>IF(OR(E49="",F49="DQ",F49="DNF",F49="DNS",F49=""),"-",VLOOKUP(C49,'FERDİ SONUÇ'!$B$6:$H$862,7,0))</f>
        <v>-</v>
      </c>
      <c r="H49" s="129"/>
    </row>
    <row r="50" spans="1:8" ht="14.25" customHeight="1">
      <c r="A50" s="114"/>
      <c r="B50" s="115"/>
      <c r="C50" s="116">
        <f>IF(A52="","",INDEX('TAKIM KAYIT'!$C$6:$C$245,MATCH(C52,'TAKIM KAYIT'!$C$6:$C$245,0)-2))</f>
        <v>98</v>
      </c>
      <c r="D50" s="117" t="str">
        <f>IF(ISERROR(VLOOKUP($C50,'START LİSTE'!$B$6:$F$1027,2,0)),"",VLOOKUP($C50,'START LİSTE'!$B$6:$F$1027,2,0))</f>
        <v>TUNAHAN KARGI</v>
      </c>
      <c r="E50" s="118" t="str">
        <f>IF(ISERROR(VLOOKUP($C50,'START LİSTE'!$B$6:$F$1027,4,0)),"",VLOOKUP($C50,'START LİSTE'!$B$6:$F$1027,4,0))</f>
        <v>T</v>
      </c>
      <c r="F50" s="119" t="str">
        <f>IF(ISERROR(VLOOKUP($C50,'FERDİ SONUÇ'!$B$6:$H$862,6,0)),"",VLOOKUP($C50,'FERDİ SONUÇ'!$B$6:$H$862,6,0))</f>
        <v>-</v>
      </c>
      <c r="G50" s="130">
        <f>IF(OR(E50="",F50="DQ",F50="DNF",F50="DNS",F50=""),"-",VLOOKUP(C50,'FERDİ SONUÇ'!$B$6:$H$862,7,0))</f>
        <v>35</v>
      </c>
      <c r="H50" s="121"/>
    </row>
    <row r="51" spans="1:8" ht="14.25" customHeight="1">
      <c r="A51" s="122"/>
      <c r="B51" s="123"/>
      <c r="C51" s="124">
        <f>IF(A52="","",INDEX('TAKIM KAYIT'!$C$6:$C$245,MATCH(C52,'TAKIM KAYIT'!$C$6:$C$245,0)-1))</f>
        <v>99</v>
      </c>
      <c r="D51" s="125" t="str">
        <f>IF(ISERROR(VLOOKUP($C51,'START LİSTE'!$B$6:$F$1027,2,0)),"",VLOOKUP($C51,'START LİSTE'!$B$6:$F$1027,2,0))</f>
        <v>SEMİH SARI</v>
      </c>
      <c r="E51" s="126" t="str">
        <f>IF(ISERROR(VLOOKUP($C51,'START LİSTE'!$B$6:$F$1027,4,0)),"",VLOOKUP($C51,'START LİSTE'!$B$6:$F$1027,4,0))</f>
        <v>T</v>
      </c>
      <c r="F51" s="127" t="str">
        <f>IF(ISERROR(VLOOKUP($C51,'FERDİ SONUÇ'!$B$6:$H$862,6,0)),"",VLOOKUP($C51,'FERDİ SONUÇ'!$B$6:$H$862,6,0))</f>
        <v>-</v>
      </c>
      <c r="G51" s="131">
        <f>IF(OR(E51="",F51="DQ",F51="DNF",F51="DNS",F51=""),"-",VLOOKUP(C51,'FERDİ SONUÇ'!$B$6:$H$862,7,0))</f>
        <v>57</v>
      </c>
      <c r="H51" s="129"/>
    </row>
    <row r="52" spans="1:8" ht="14.25" customHeight="1">
      <c r="A52" s="43">
        <f>IF(ISERROR(SMALL('TAKIM KAYIT'!$A$6:$A$245,12)),"",SMALL('TAKIM KAYIT'!$A$6:$A$245,12))</f>
        <v>12</v>
      </c>
      <c r="B52" s="123" t="str">
        <f>IF(A52="","",VLOOKUP(A52,'TAKIM KAYIT'!$A$6:$J$245,2,FALSE))</f>
        <v>TOKAT İL KARMASI</v>
      </c>
      <c r="C52" s="124">
        <f>IF(A52="","",VLOOKUP(A52,'TAKIM KAYIT'!$A$6:$J$245,3,FALSE))</f>
        <v>100</v>
      </c>
      <c r="D52" s="125" t="str">
        <f>IF(ISERROR(VLOOKUP($C52,'START LİSTE'!$B$6:$F$1027,2,0)),"",VLOOKUP($C52,'START LİSTE'!$B$6:$F$1027,2,0))</f>
        <v>ÇAĞLAR KARADAĞ</v>
      </c>
      <c r="E52" s="126" t="str">
        <f>IF(ISERROR(VLOOKUP($C52,'START LİSTE'!$B$6:$F$1027,4,0)),"",VLOOKUP($C52,'START LİSTE'!$B$6:$F$1027,4,0))</f>
        <v>T</v>
      </c>
      <c r="F52" s="127" t="str">
        <f>IF(ISERROR(VLOOKUP($C52,'FERDİ SONUÇ'!$B$6:$H$862,6,0)),"",VLOOKUP($C52,'FERDİ SONUÇ'!$B$6:$H$862,6,0))</f>
        <v>-</v>
      </c>
      <c r="G52" s="131">
        <f>IF(OR(E52="",F52="DQ",F52="DNF",F52="DNS",F52=""),"-",VLOOKUP(C52,'FERDİ SONUÇ'!$B$6:$H$862,7,0))</f>
        <v>60</v>
      </c>
      <c r="H52" s="129">
        <f>IF(A52="","",VLOOKUP(A52,'TAKIM KAYIT'!$A$6:$K$245,10,FALSE))</f>
        <v>152</v>
      </c>
    </row>
    <row r="53" spans="1:8" ht="14.25" customHeight="1">
      <c r="A53" s="122"/>
      <c r="B53" s="123"/>
      <c r="C53" s="124" t="str">
        <f>IF(A52="","",INDEX('TAKIM KAYIT'!$C$6:$C$245,MATCH(C52,'TAKIM KAYIT'!$C$6:$C$245,0)+1))</f>
        <v>-</v>
      </c>
      <c r="D53" s="125" t="str">
        <f>IF(ISERROR(VLOOKUP($C53,'START LİSTE'!$B$6:$F$1027,2,0)),"",VLOOKUP($C53,'START LİSTE'!$B$6:$F$1027,2,0))</f>
        <v>-</v>
      </c>
      <c r="E53" s="126" t="str">
        <f>IF(ISERROR(VLOOKUP($C53,'START LİSTE'!$B$6:$F$1027,4,0)),"",VLOOKUP($C53,'START LİSTE'!$B$6:$F$1027,4,0))</f>
        <v>T</v>
      </c>
      <c r="F53" s="127">
        <f>IF(ISERROR(VLOOKUP($C53,'FERDİ SONUÇ'!$B$6:$H$862,6,0)),"",VLOOKUP($C53,'FERDİ SONUÇ'!$B$6:$H$862,6,0))</f>
      </c>
      <c r="G53" s="131" t="str">
        <f>IF(OR(E53="",F53="DQ",F53="DNF",F53="DNS",F53=""),"-",VLOOKUP(C53,'FERDİ SONUÇ'!$B$6:$H$862,7,0))</f>
        <v>-</v>
      </c>
      <c r="H53" s="129"/>
    </row>
    <row r="54" spans="1:8" ht="14.25" customHeight="1">
      <c r="A54" s="114"/>
      <c r="B54" s="115"/>
      <c r="C54" s="116">
        <f>IF(A56="","",INDEX('TAKIM KAYIT'!$C$6:$C$245,MATCH(C56,'TAKIM KAYIT'!$C$6:$C$245,0)-2))</f>
        <v>82</v>
      </c>
      <c r="D54" s="117" t="str">
        <f>IF(ISERROR(VLOOKUP($C54,'START LİSTE'!$B$6:$F$1027,2,0)),"",VLOOKUP($C54,'START LİSTE'!$B$6:$F$1027,2,0))</f>
        <v>FERHAT KERELTİ</v>
      </c>
      <c r="E54" s="118" t="str">
        <f>IF(ISERROR(VLOOKUP($C54,'START LİSTE'!$B$6:$F$1027,4,0)),"",VLOOKUP($C54,'START LİSTE'!$B$6:$F$1027,4,0))</f>
        <v>T</v>
      </c>
      <c r="F54" s="119">
        <f>IF(ISERROR(VLOOKUP($C54,'FERDİ SONUÇ'!$B$6:$H$862,6,0)),"",VLOOKUP($C54,'FERDİ SONUÇ'!$B$6:$H$862,6,0))</f>
        <v>715</v>
      </c>
      <c r="G54" s="130">
        <f>IF(OR(E54="",F54="DQ",F54="DNF",F54="DNS",F54=""),"-",VLOOKUP(C54,'FERDİ SONUÇ'!$B$6:$H$862,7,0))</f>
        <v>18</v>
      </c>
      <c r="H54" s="121"/>
    </row>
    <row r="55" spans="1:8" ht="14.25" customHeight="1">
      <c r="A55" s="122"/>
      <c r="B55" s="123"/>
      <c r="C55" s="124">
        <f>IF(A56="","",INDEX('TAKIM KAYIT'!$C$6:$C$245,MATCH(C56,'TAKIM KAYIT'!$C$6:$C$245,0)-1))</f>
        <v>83</v>
      </c>
      <c r="D55" s="125" t="str">
        <f>IF(ISERROR(VLOOKUP($C55,'START LİSTE'!$B$6:$F$1027,2,0)),"",VLOOKUP($C55,'START LİSTE'!$B$6:$F$1027,2,0))</f>
        <v>ABDULLAH ÖZMEN</v>
      </c>
      <c r="E55" s="126" t="str">
        <f>IF(ISERROR(VLOOKUP($C55,'START LİSTE'!$B$6:$F$1027,4,0)),"",VLOOKUP($C55,'START LİSTE'!$B$6:$F$1027,4,0))</f>
        <v>T</v>
      </c>
      <c r="F55" s="127" t="str">
        <f>IF(ISERROR(VLOOKUP($C55,'FERDİ SONUÇ'!$B$6:$H$862,6,0)),"",VLOOKUP($C55,'FERDİ SONUÇ'!$B$6:$H$862,6,0))</f>
        <v>-</v>
      </c>
      <c r="G55" s="131">
        <f>IF(OR(E55="",F55="DQ",F55="DNF",F55="DNS",F55=""),"-",VLOOKUP(C55,'FERDİ SONUÇ'!$B$6:$H$862,7,0))</f>
        <v>75</v>
      </c>
      <c r="H55" s="129"/>
    </row>
    <row r="56" spans="1:8" ht="14.25" customHeight="1">
      <c r="A56" s="43">
        <f>IF(ISERROR(SMALL('TAKIM KAYIT'!$A$6:$A$245,13)),"",SMALL('TAKIM KAYIT'!$A$6:$A$245,13))</f>
        <v>13</v>
      </c>
      <c r="B56" s="123" t="str">
        <f>IF(A56="","",VLOOKUP(A56,'TAKIM KAYIT'!$A$6:$J$245,2,FALSE))</f>
        <v>MARDİN</v>
      </c>
      <c r="C56" s="124">
        <f>IF(A56="","",VLOOKUP(A56,'TAKIM KAYIT'!$A$6:$J$245,3,FALSE))</f>
        <v>84</v>
      </c>
      <c r="D56" s="125" t="str">
        <f>IF(ISERROR(VLOOKUP($C56,'START LİSTE'!$B$6:$F$1027,2,0)),"",VLOOKUP($C56,'START LİSTE'!$B$6:$F$1027,2,0))</f>
        <v>HASAN ÇAÇA</v>
      </c>
      <c r="E56" s="126" t="str">
        <f>IF(ISERROR(VLOOKUP($C56,'START LİSTE'!$B$6:$F$1027,4,0)),"",VLOOKUP($C56,'START LİSTE'!$B$6:$F$1027,4,0))</f>
        <v>T</v>
      </c>
      <c r="F56" s="127" t="str">
        <f>IF(ISERROR(VLOOKUP($C56,'FERDİ SONUÇ'!$B$6:$H$862,6,0)),"",VLOOKUP($C56,'FERDİ SONUÇ'!$B$6:$H$862,6,0))</f>
        <v>-</v>
      </c>
      <c r="G56" s="131">
        <f>IF(OR(E56="",F56="DQ",F56="DNF",F56="DNS",F56=""),"-",VLOOKUP(C56,'FERDİ SONUÇ'!$B$6:$H$862,7,0))</f>
        <v>66</v>
      </c>
      <c r="H56" s="129">
        <f>IF(A56="","",VLOOKUP(A56,'TAKIM KAYIT'!$A$6:$K$245,10,FALSE))</f>
        <v>152</v>
      </c>
    </row>
    <row r="57" spans="1:8" ht="14.25" customHeight="1">
      <c r="A57" s="122"/>
      <c r="B57" s="123"/>
      <c r="C57" s="124">
        <f>IF(A56="","",INDEX('TAKIM KAYIT'!$C$6:$C$245,MATCH(C56,'TAKIM KAYIT'!$C$6:$C$245,0)+1))</f>
        <v>85</v>
      </c>
      <c r="D57" s="125" t="str">
        <f>IF(ISERROR(VLOOKUP($C57,'START LİSTE'!$B$6:$F$1027,2,0)),"",VLOOKUP($C57,'START LİSTE'!$B$6:$F$1027,2,0))</f>
        <v>EMİR HAN BİSEN</v>
      </c>
      <c r="E57" s="126" t="str">
        <f>IF(ISERROR(VLOOKUP($C57,'START LİSTE'!$B$6:$F$1027,4,0)),"",VLOOKUP($C57,'START LİSTE'!$B$6:$F$1027,4,0))</f>
        <v>T</v>
      </c>
      <c r="F57" s="127" t="str">
        <f>IF(ISERROR(VLOOKUP($C57,'FERDİ SONUÇ'!$B$6:$H$862,6,0)),"",VLOOKUP($C57,'FERDİ SONUÇ'!$B$6:$H$862,6,0))</f>
        <v>-</v>
      </c>
      <c r="G57" s="131">
        <f>IF(OR(E57="",F57="DQ",F57="DNF",F57="DNS",F57=""),"-",VLOOKUP(C57,'FERDİ SONUÇ'!$B$6:$H$862,7,0))</f>
        <v>68</v>
      </c>
      <c r="H57" s="129"/>
    </row>
    <row r="58" spans="1:8" ht="14.25" customHeight="1">
      <c r="A58" s="114"/>
      <c r="B58" s="115"/>
      <c r="C58" s="116">
        <f>IF(A60="","",INDEX('TAKIM KAYIT'!$C$6:$C$245,MATCH(C60,'TAKIM KAYIT'!$C$6:$C$245,0)-2))</f>
        <v>75</v>
      </c>
      <c r="D58" s="117" t="str">
        <f>IF(ISERROR(VLOOKUP($C58,'START LİSTE'!$B$6:$F$1027,2,0)),"",VLOOKUP($C58,'START LİSTE'!$B$6:$F$1027,2,0))</f>
        <v>AHMET EMRE DEVELİ</v>
      </c>
      <c r="E58" s="118" t="str">
        <f>IF(ISERROR(VLOOKUP($C58,'START LİSTE'!$B$6:$F$1027,4,0)),"",VLOOKUP($C58,'START LİSTE'!$B$6:$F$1027,4,0))</f>
        <v>T</v>
      </c>
      <c r="F58" s="119" t="str">
        <f>IF(ISERROR(VLOOKUP($C58,'FERDİ SONUÇ'!$B$6:$H$862,6,0)),"",VLOOKUP($C58,'FERDİ SONUÇ'!$B$6:$H$862,6,0))</f>
        <v>-</v>
      </c>
      <c r="G58" s="130">
        <f>IF(OR(E58="",F58="DQ",F58="DNF",F58="DNS",F58=""),"-",VLOOKUP(C58,'FERDİ SONUÇ'!$B$6:$H$862,7,0))</f>
        <v>79</v>
      </c>
      <c r="H58" s="121"/>
    </row>
    <row r="59" spans="1:8" ht="14.25" customHeight="1">
      <c r="A59" s="122"/>
      <c r="B59" s="123"/>
      <c r="C59" s="124">
        <f>IF(A60="","",INDEX('TAKIM KAYIT'!$C$6:$C$245,MATCH(C60,'TAKIM KAYIT'!$C$6:$C$245,0)-1))</f>
        <v>76</v>
      </c>
      <c r="D59" s="125" t="str">
        <f>IF(ISERROR(VLOOKUP($C59,'START LİSTE'!$B$6:$F$1027,2,0)),"",VLOOKUP($C59,'START LİSTE'!$B$6:$F$1027,2,0))</f>
        <v>MURAT KÖSE</v>
      </c>
      <c r="E59" s="126" t="str">
        <f>IF(ISERROR(VLOOKUP($C59,'START LİSTE'!$B$6:$F$1027,4,0)),"",VLOOKUP($C59,'START LİSTE'!$B$6:$F$1027,4,0))</f>
        <v>T</v>
      </c>
      <c r="F59" s="127">
        <f>IF(ISERROR(VLOOKUP($C59,'FERDİ SONUÇ'!$B$6:$H$862,6,0)),"",VLOOKUP($C59,'FERDİ SONUÇ'!$B$6:$H$862,6,0))</f>
        <v>712</v>
      </c>
      <c r="G59" s="131">
        <f>IF(OR(E59="",F59="DQ",F59="DNF",F59="DNS",F59=""),"-",VLOOKUP(C59,'FERDİ SONUÇ'!$B$6:$H$862,7,0))</f>
        <v>15</v>
      </c>
      <c r="H59" s="129"/>
    </row>
    <row r="60" spans="1:8" ht="14.25" customHeight="1">
      <c r="A60" s="43">
        <f>IF(ISERROR(SMALL('TAKIM KAYIT'!$A$6:$A$245,14)),"",SMALL('TAKIM KAYIT'!$A$6:$A$245,14))</f>
        <v>14</v>
      </c>
      <c r="B60" s="123" t="str">
        <f>IF(A60="","",VLOOKUP(A60,'TAKIM KAYIT'!$A$6:$J$245,2,FALSE))</f>
        <v>KÜTAHYA</v>
      </c>
      <c r="C60" s="124">
        <f>IF(A60="","",VLOOKUP(A60,'TAKIM KAYIT'!$A$6:$J$245,3,FALSE))</f>
        <v>77</v>
      </c>
      <c r="D60" s="125" t="str">
        <f>IF(ISERROR(VLOOKUP($C60,'START LİSTE'!$B$6:$F$1027,2,0)),"",VLOOKUP($C60,'START LİSTE'!$B$6:$F$1027,2,0))</f>
        <v>MUSTAFA MUŞTU</v>
      </c>
      <c r="E60" s="126" t="str">
        <f>IF(ISERROR(VLOOKUP($C60,'START LİSTE'!$B$6:$F$1027,4,0)),"",VLOOKUP($C60,'START LİSTE'!$B$6:$F$1027,4,0))</f>
        <v>T</v>
      </c>
      <c r="F60" s="127" t="str">
        <f>IF(ISERROR(VLOOKUP($C60,'FERDİ SONUÇ'!$B$6:$H$862,6,0)),"",VLOOKUP($C60,'FERDİ SONUÇ'!$B$6:$H$862,6,0))</f>
        <v>-</v>
      </c>
      <c r="G60" s="131">
        <f>IF(OR(E60="",F60="DQ",F60="DNF",F60="DNS",F60=""),"-",VLOOKUP(C60,'FERDİ SONUÇ'!$B$6:$H$862,7,0))</f>
        <v>78</v>
      </c>
      <c r="H60" s="129">
        <f>IF(A60="","",VLOOKUP(A60,'TAKIM KAYIT'!$A$6:$K$245,10,FALSE))</f>
        <v>154</v>
      </c>
    </row>
    <row r="61" spans="1:8" ht="14.25" customHeight="1">
      <c r="A61" s="122"/>
      <c r="B61" s="123"/>
      <c r="C61" s="124">
        <f>IF(A60="","",INDEX('TAKIM KAYIT'!$C$6:$C$245,MATCH(C60,'TAKIM KAYIT'!$C$6:$C$245,0)+1))</f>
        <v>78</v>
      </c>
      <c r="D61" s="125" t="str">
        <f>IF(ISERROR(VLOOKUP($C61,'START LİSTE'!$B$6:$F$1027,2,0)),"",VLOOKUP($C61,'START LİSTE'!$B$6:$F$1027,2,0))</f>
        <v>İBRAHİM AYGÜN</v>
      </c>
      <c r="E61" s="126" t="str">
        <f>IF(ISERROR(VLOOKUP($C61,'START LİSTE'!$B$6:$F$1027,4,0)),"",VLOOKUP($C61,'START LİSTE'!$B$6:$F$1027,4,0))</f>
        <v>T</v>
      </c>
      <c r="F61" s="127" t="str">
        <f>IF(ISERROR(VLOOKUP($C61,'FERDİ SONUÇ'!$B$6:$H$862,6,0)),"",VLOOKUP($C61,'FERDİ SONUÇ'!$B$6:$H$862,6,0))</f>
        <v>-</v>
      </c>
      <c r="G61" s="131">
        <f>IF(OR(E61="",F61="DQ",F61="DNF",F61="DNS",F61=""),"-",VLOOKUP(C61,'FERDİ SONUÇ'!$B$6:$H$862,7,0))</f>
        <v>61</v>
      </c>
      <c r="H61" s="129"/>
    </row>
    <row r="62" spans="1:8" ht="14.25" customHeight="1">
      <c r="A62" s="114"/>
      <c r="B62" s="115"/>
      <c r="C62" s="116">
        <f>IF(A64="","",INDEX('TAKIM KAYIT'!$C$6:$C$245,MATCH(C64,'TAKIM KAYIT'!$C$6:$C$245,0)-2))</f>
        <v>64</v>
      </c>
      <c r="D62" s="117" t="str">
        <f>IF(ISERROR(VLOOKUP($C62,'START LİSTE'!$B$6:$F$1027,2,0)),"",VLOOKUP($C62,'START LİSTE'!$B$6:$F$1027,2,0))</f>
        <v>YASİN ŞAHİNGÖZ</v>
      </c>
      <c r="E62" s="118" t="str">
        <f>IF(ISERROR(VLOOKUP($C62,'START LİSTE'!$B$6:$F$1027,4,0)),"",VLOOKUP($C62,'START LİSTE'!$B$6:$F$1027,4,0))</f>
        <v>T</v>
      </c>
      <c r="F62" s="119" t="str">
        <f>IF(ISERROR(VLOOKUP($C62,'FERDİ SONUÇ'!$B$6:$H$862,6,0)),"",VLOOKUP($C62,'FERDİ SONUÇ'!$B$6:$H$862,6,0))</f>
        <v>-</v>
      </c>
      <c r="G62" s="130">
        <f>IF(OR(E62="",F62="DQ",F62="DNF",F62="DNS",F62=""),"-",VLOOKUP(C62,'FERDİ SONUÇ'!$B$6:$H$862,7,0))</f>
        <v>65</v>
      </c>
      <c r="H62" s="121"/>
    </row>
    <row r="63" spans="1:8" ht="14.25" customHeight="1">
      <c r="A63" s="122"/>
      <c r="B63" s="123"/>
      <c r="C63" s="124">
        <f>IF(A64="","",INDEX('TAKIM KAYIT'!$C$6:$C$245,MATCH(C64,'TAKIM KAYIT'!$C$6:$C$245,0)-1))</f>
        <v>65</v>
      </c>
      <c r="D63" s="125" t="str">
        <f>IF(ISERROR(VLOOKUP($C63,'START LİSTE'!$B$6:$F$1027,2,0)),"",VLOOKUP($C63,'START LİSTE'!$B$6:$F$1027,2,0))</f>
        <v>UMUT KARSÖKEN</v>
      </c>
      <c r="E63" s="126" t="str">
        <f>IF(ISERROR(VLOOKUP($C63,'START LİSTE'!$B$6:$F$1027,4,0)),"",VLOOKUP($C63,'START LİSTE'!$B$6:$F$1027,4,0))</f>
        <v>T</v>
      </c>
      <c r="F63" s="127" t="str">
        <f>IF(ISERROR(VLOOKUP($C63,'FERDİ SONUÇ'!$B$6:$H$862,6,0)),"",VLOOKUP($C63,'FERDİ SONUÇ'!$B$6:$H$862,6,0))</f>
        <v>-</v>
      </c>
      <c r="G63" s="131">
        <f>IF(OR(E63="",F63="DQ",F63="DNF",F63="DNS",F63=""),"-",VLOOKUP(C63,'FERDİ SONUÇ'!$B$6:$H$862,7,0))</f>
        <v>76</v>
      </c>
      <c r="H63" s="129"/>
    </row>
    <row r="64" spans="1:8" ht="14.25" customHeight="1">
      <c r="A64" s="43">
        <f>IF(ISERROR(SMALL('TAKIM KAYIT'!$A$6:$A$245,15)),"",SMALL('TAKIM KAYIT'!$A$6:$A$245,15))</f>
        <v>15</v>
      </c>
      <c r="B64" s="123" t="str">
        <f>IF(A64="","",VLOOKUP(A64,'TAKIM KAYIT'!$A$6:$J$245,2,FALSE))</f>
        <v>KIRIKKALE</v>
      </c>
      <c r="C64" s="124">
        <f>IF(A64="","",VLOOKUP(A64,'TAKIM KAYIT'!$A$6:$J$245,3,FALSE))</f>
        <v>66</v>
      </c>
      <c r="D64" s="125" t="str">
        <f>IF(ISERROR(VLOOKUP($C64,'START LİSTE'!$B$6:$F$1027,2,0)),"",VLOOKUP($C64,'START LİSTE'!$B$6:$F$1027,2,0))</f>
        <v>MERT ARSLAN</v>
      </c>
      <c r="E64" s="126" t="str">
        <f>IF(ISERROR(VLOOKUP($C64,'START LİSTE'!$B$6:$F$1027,4,0)),"",VLOOKUP($C64,'START LİSTE'!$B$6:$F$1027,4,0))</f>
        <v>T</v>
      </c>
      <c r="F64" s="127" t="str">
        <f>IF(ISERROR(VLOOKUP($C64,'FERDİ SONUÇ'!$B$6:$H$862,6,0)),"",VLOOKUP($C64,'FERDİ SONUÇ'!$B$6:$H$862,6,0))</f>
        <v>DNS</v>
      </c>
      <c r="G64" s="131" t="str">
        <f>IF(OR(E64="",F64="DQ",F64="DNF",F64="DNS",F64=""),"-",VLOOKUP(C64,'FERDİ SONUÇ'!$B$6:$H$862,7,0))</f>
        <v>-</v>
      </c>
      <c r="H64" s="129">
        <f>IF(A64="","",VLOOKUP(A64,'TAKIM KAYIT'!$A$6:$K$245,10,FALSE))</f>
        <v>165</v>
      </c>
    </row>
    <row r="65" spans="1:8" ht="14.25" customHeight="1">
      <c r="A65" s="122"/>
      <c r="B65" s="123"/>
      <c r="C65" s="124">
        <f>IF(A64="","",INDEX('TAKIM KAYIT'!$C$6:$C$245,MATCH(C64,'TAKIM KAYIT'!$C$6:$C$245,0)+1))</f>
        <v>67</v>
      </c>
      <c r="D65" s="125" t="str">
        <f>IF(ISERROR(VLOOKUP($C65,'START LİSTE'!$B$6:$F$1027,2,0)),"",VLOOKUP($C65,'START LİSTE'!$B$6:$F$1027,2,0))</f>
        <v>BAKİ GÜLER</v>
      </c>
      <c r="E65" s="126" t="str">
        <f>IF(ISERROR(VLOOKUP($C65,'START LİSTE'!$B$6:$F$1027,4,0)),"",VLOOKUP($C65,'START LİSTE'!$B$6:$F$1027,4,0))</f>
        <v>T</v>
      </c>
      <c r="F65" s="127" t="str">
        <f>IF(ISERROR(VLOOKUP($C65,'FERDİ SONUÇ'!$B$6:$H$862,6,0)),"",VLOOKUP($C65,'FERDİ SONUÇ'!$B$6:$H$862,6,0))</f>
        <v>-</v>
      </c>
      <c r="G65" s="131">
        <f>IF(OR(E65="",F65="DQ",F65="DNF",F65="DNS",F65=""),"-",VLOOKUP(C65,'FERDİ SONUÇ'!$B$6:$H$862,7,0))</f>
        <v>24</v>
      </c>
      <c r="H65" s="129"/>
    </row>
    <row r="66" spans="1:8" ht="14.25" customHeight="1">
      <c r="A66" s="114"/>
      <c r="B66" s="115"/>
      <c r="C66" s="116">
        <f>IF(A68="","",INDEX('TAKIM KAYIT'!$C$6:$C$245,MATCH(C68,'TAKIM KAYIT'!$C$6:$C$245,0)-2))</f>
        <v>15</v>
      </c>
      <c r="D66" s="117" t="str">
        <f>IF(ISERROR(VLOOKUP($C66,'START LİSTE'!$B$6:$F$1027,2,0)),"",VLOOKUP($C66,'START LİSTE'!$B$6:$F$1027,2,0))</f>
        <v>HALİL KÖMÜR</v>
      </c>
      <c r="E66" s="118" t="str">
        <f>IF(ISERROR(VLOOKUP($C66,'START LİSTE'!$B$6:$F$1027,4,0)),"",VLOOKUP($C66,'START LİSTE'!$B$6:$F$1027,4,0))</f>
        <v>T</v>
      </c>
      <c r="F66" s="119" t="str">
        <f>IF(ISERROR(VLOOKUP($C66,'FERDİ SONUÇ'!$B$6:$H$862,6,0)),"",VLOOKUP($C66,'FERDİ SONUÇ'!$B$6:$H$862,6,0))</f>
        <v>-</v>
      </c>
      <c r="G66" s="130">
        <f>IF(OR(E66="",F66="DQ",F66="DNF",F66="DNS",F66=""),"-",VLOOKUP(C66,'FERDİ SONUÇ'!$B$6:$H$862,7,0))</f>
        <v>56</v>
      </c>
      <c r="H66" s="121"/>
    </row>
    <row r="67" spans="1:8" ht="14.25" customHeight="1">
      <c r="A67" s="122"/>
      <c r="B67" s="123"/>
      <c r="C67" s="124">
        <f>IF(A68="","",INDEX('TAKIM KAYIT'!$C$6:$C$245,MATCH(C68,'TAKIM KAYIT'!$C$6:$C$245,0)-1))</f>
        <v>16</v>
      </c>
      <c r="D67" s="125" t="str">
        <f>IF(ISERROR(VLOOKUP($C67,'START LİSTE'!$B$6:$F$1027,2,0)),"",VLOOKUP($C67,'START LİSTE'!$B$6:$F$1027,2,0))</f>
        <v>GÖKDENİZ TEKİN</v>
      </c>
      <c r="E67" s="126" t="str">
        <f>IF(ISERROR(VLOOKUP($C67,'START LİSTE'!$B$6:$F$1027,4,0)),"",VLOOKUP($C67,'START LİSTE'!$B$6:$F$1027,4,0))</f>
        <v>T</v>
      </c>
      <c r="F67" s="127" t="str">
        <f>IF(ISERROR(VLOOKUP($C67,'FERDİ SONUÇ'!$B$6:$H$862,6,0)),"",VLOOKUP($C67,'FERDİ SONUÇ'!$B$6:$H$862,6,0))</f>
        <v>DNF</v>
      </c>
      <c r="G67" s="131" t="str">
        <f>IF(OR(E67="",F67="DQ",F67="DNF",F67="DNS",F67=""),"-",VLOOKUP(C67,'FERDİ SONUÇ'!$B$6:$H$862,7,0))</f>
        <v>-</v>
      </c>
      <c r="H67" s="129"/>
    </row>
    <row r="68" spans="1:8" ht="14.25" customHeight="1">
      <c r="A68" s="43">
        <f>IF(ISERROR(SMALL('TAKIM KAYIT'!$A$6:$A$245,16)),"",SMALL('TAKIM KAYIT'!$A$6:$A$245,16))</f>
        <v>16</v>
      </c>
      <c r="B68" s="123" t="str">
        <f>IF(A68="","",VLOOKUP(A68,'TAKIM KAYIT'!$A$6:$J$245,2,FALSE))</f>
        <v>ARDAHAN</v>
      </c>
      <c r="C68" s="124">
        <f>IF(A68="","",VLOOKUP(A68,'TAKIM KAYIT'!$A$6:$J$245,3,FALSE))</f>
        <v>17</v>
      </c>
      <c r="D68" s="125" t="str">
        <f>IF(ISERROR(VLOOKUP($C68,'START LİSTE'!$B$6:$F$1027,2,0)),"",VLOOKUP($C68,'START LİSTE'!$B$6:$F$1027,2,0))</f>
        <v>ÜMİTCAN KÖROĞLU</v>
      </c>
      <c r="E68" s="126" t="str">
        <f>IF(ISERROR(VLOOKUP($C68,'START LİSTE'!$B$6:$F$1027,4,0)),"",VLOOKUP($C68,'START LİSTE'!$B$6:$F$1027,4,0))</f>
        <v>T</v>
      </c>
      <c r="F68" s="127" t="str">
        <f>IF(ISERROR(VLOOKUP($C68,'FERDİ SONUÇ'!$B$6:$H$862,6,0)),"",VLOOKUP($C68,'FERDİ SONUÇ'!$B$6:$H$862,6,0))</f>
        <v>-</v>
      </c>
      <c r="G68" s="131">
        <f>IF(OR(E68="",F68="DQ",F68="DNF",F68="DNS",F68=""),"-",VLOOKUP(C68,'FERDİ SONUÇ'!$B$6:$H$862,7,0))</f>
        <v>29</v>
      </c>
      <c r="H68" s="129">
        <f>IF(A68="","",VLOOKUP(A68,'TAKIM KAYIT'!$A$6:$K$245,10,FALSE))</f>
        <v>166</v>
      </c>
    </row>
    <row r="69" spans="1:8" ht="14.25" customHeight="1">
      <c r="A69" s="122"/>
      <c r="B69" s="123"/>
      <c r="C69" s="124">
        <f>IF(A68="","",INDEX('TAKIM KAYIT'!$C$6:$C$245,MATCH(C68,'TAKIM KAYIT'!$C$6:$C$245,0)+1))</f>
        <v>18</v>
      </c>
      <c r="D69" s="125" t="str">
        <f>IF(ISERROR(VLOOKUP($C69,'START LİSTE'!$B$6:$F$1027,2,0)),"",VLOOKUP($C69,'START LİSTE'!$B$6:$F$1027,2,0))</f>
        <v>MERTCAN TORUN</v>
      </c>
      <c r="E69" s="126" t="str">
        <f>IF(ISERROR(VLOOKUP($C69,'START LİSTE'!$B$6:$F$1027,4,0)),"",VLOOKUP($C69,'START LİSTE'!$B$6:$F$1027,4,0))</f>
        <v>T</v>
      </c>
      <c r="F69" s="127" t="str">
        <f>IF(ISERROR(VLOOKUP($C69,'FERDİ SONUÇ'!$B$6:$H$862,6,0)),"",VLOOKUP($C69,'FERDİ SONUÇ'!$B$6:$H$862,6,0))</f>
        <v>-</v>
      </c>
      <c r="G69" s="131">
        <f>IF(OR(E69="",F69="DQ",F69="DNF",F69="DNS",F69=""),"-",VLOOKUP(C69,'FERDİ SONUÇ'!$B$6:$H$862,7,0))</f>
        <v>81</v>
      </c>
      <c r="H69" s="129"/>
    </row>
    <row r="70" spans="1:8" ht="14.25" customHeight="1">
      <c r="A70" s="114"/>
      <c r="B70" s="115"/>
      <c r="C70" s="116">
        <f>IF(A72="","",INDEX('TAKIM KAYIT'!$C$6:$C$245,MATCH(C72,'TAKIM KAYIT'!$C$6:$C$245,0)-2))</f>
        <v>79</v>
      </c>
      <c r="D70" s="117" t="str">
        <f>IF(ISERROR(VLOOKUP($C70,'START LİSTE'!$B$6:$F$1027,2,0)),"",VLOOKUP($C70,'START LİSTE'!$B$6:$F$1027,2,0))</f>
        <v>ERAY GÖL</v>
      </c>
      <c r="E70" s="118" t="str">
        <f>IF(ISERROR(VLOOKUP($C70,'START LİSTE'!$B$6:$F$1027,4,0)),"",VLOOKUP($C70,'START LİSTE'!$B$6:$F$1027,4,0))</f>
        <v>T</v>
      </c>
      <c r="F70" s="119" t="str">
        <f>IF(ISERROR(VLOOKUP($C70,'FERDİ SONUÇ'!$B$6:$H$862,6,0)),"",VLOOKUP($C70,'FERDİ SONUÇ'!$B$6:$H$862,6,0))</f>
        <v>-</v>
      </c>
      <c r="G70" s="130">
        <f>IF(OR(E70="",F70="DQ",F70="DNF",F70="DNS",F70=""),"-",VLOOKUP(C70,'FERDİ SONUÇ'!$B$6:$H$862,7,0))</f>
        <v>69</v>
      </c>
      <c r="H70" s="121"/>
    </row>
    <row r="71" spans="1:8" ht="14.25" customHeight="1">
      <c r="A71" s="122"/>
      <c r="B71" s="123"/>
      <c r="C71" s="124">
        <f>IF(A72="","",INDEX('TAKIM KAYIT'!$C$6:$C$245,MATCH(C72,'TAKIM KAYIT'!$C$6:$C$245,0)-1))</f>
        <v>80</v>
      </c>
      <c r="D71" s="125" t="str">
        <f>IF(ISERROR(VLOOKUP($C71,'START LİSTE'!$B$6:$F$1027,2,0)),"",VLOOKUP($C71,'START LİSTE'!$B$6:$F$1027,2,0))</f>
        <v>AHMET AKARSU</v>
      </c>
      <c r="E71" s="126" t="str">
        <f>IF(ISERROR(VLOOKUP($C71,'START LİSTE'!$B$6:$F$1027,4,0)),"",VLOOKUP($C71,'START LİSTE'!$B$6:$F$1027,4,0))</f>
        <v>T</v>
      </c>
      <c r="F71" s="127" t="str">
        <f>IF(ISERROR(VLOOKUP($C71,'FERDİ SONUÇ'!$B$6:$H$862,6,0)),"",VLOOKUP($C71,'FERDİ SONUÇ'!$B$6:$H$862,6,0))</f>
        <v>-</v>
      </c>
      <c r="G71" s="131">
        <f>IF(OR(E71="",F71="DQ",F71="DNF",F71="DNS",F71=""),"-",VLOOKUP(C71,'FERDİ SONUÇ'!$B$6:$H$862,7,0))</f>
        <v>46</v>
      </c>
      <c r="H71" s="129"/>
    </row>
    <row r="72" spans="1:8" ht="14.25" customHeight="1">
      <c r="A72" s="43">
        <f>IF(ISERROR(SMALL('TAKIM KAYIT'!$A$6:$A$245,17)),"",SMALL('TAKIM KAYIT'!$A$6:$A$245,17))</f>
        <v>17</v>
      </c>
      <c r="B72" s="123" t="str">
        <f>IF(A72="","",VLOOKUP(A72,'TAKIM KAYIT'!$A$6:$J$245,2,FALSE))</f>
        <v>MANİSA </v>
      </c>
      <c r="C72" s="124">
        <f>IF(A72="","",VLOOKUP(A72,'TAKIM KAYIT'!$A$6:$J$245,3,FALSE))</f>
        <v>81</v>
      </c>
      <c r="D72" s="125" t="str">
        <f>IF(ISERROR(VLOOKUP($C72,'START LİSTE'!$B$6:$F$1027,2,0)),"",VLOOKUP($C72,'START LİSTE'!$B$6:$F$1027,2,0))</f>
        <v>ERDEM ŞENTÜRK</v>
      </c>
      <c r="E72" s="126" t="str">
        <f>IF(ISERROR(VLOOKUP($C72,'START LİSTE'!$B$6:$F$1027,4,0)),"",VLOOKUP($C72,'START LİSTE'!$B$6:$F$1027,4,0))</f>
        <v>T</v>
      </c>
      <c r="F72" s="127" t="str">
        <f>IF(ISERROR(VLOOKUP($C72,'FERDİ SONUÇ'!$B$6:$H$862,6,0)),"",VLOOKUP($C72,'FERDİ SONUÇ'!$B$6:$H$862,6,0))</f>
        <v>-</v>
      </c>
      <c r="G72" s="131">
        <f>IF(OR(E72="",F72="DQ",F72="DNF",F72="DNS",F72=""),"-",VLOOKUP(C72,'FERDİ SONUÇ'!$B$6:$H$862,7,0))</f>
        <v>52</v>
      </c>
      <c r="H72" s="129">
        <f>IF(A72="","",VLOOKUP(A72,'TAKIM KAYIT'!$A$6:$K$245,10,FALSE))</f>
        <v>167</v>
      </c>
    </row>
    <row r="73" spans="1:8" ht="14.25" customHeight="1">
      <c r="A73" s="122"/>
      <c r="B73" s="123"/>
      <c r="C73" s="124" t="str">
        <f>IF(A72="","",INDEX('TAKIM KAYIT'!$C$6:$C$245,MATCH(C72,'TAKIM KAYIT'!$C$6:$C$245,0)+1))</f>
        <v>-</v>
      </c>
      <c r="D73" s="125" t="str">
        <f>IF(ISERROR(VLOOKUP($C73,'START LİSTE'!$B$6:$F$1027,2,0)),"",VLOOKUP($C73,'START LİSTE'!$B$6:$F$1027,2,0))</f>
        <v>-</v>
      </c>
      <c r="E73" s="126" t="str">
        <f>IF(ISERROR(VLOOKUP($C73,'START LİSTE'!$B$6:$F$1027,4,0)),"",VLOOKUP($C73,'START LİSTE'!$B$6:$F$1027,4,0))</f>
        <v>T</v>
      </c>
      <c r="F73" s="127">
        <f>IF(ISERROR(VLOOKUP($C73,'FERDİ SONUÇ'!$B$6:$H$862,6,0)),"",VLOOKUP($C73,'FERDİ SONUÇ'!$B$6:$H$862,6,0))</f>
      </c>
      <c r="G73" s="131" t="str">
        <f>IF(OR(E73="",F73="DQ",F73="DNF",F73="DNS",F73=""),"-",VLOOKUP(C73,'FERDİ SONUÇ'!$B$6:$H$862,7,0))</f>
        <v>-</v>
      </c>
      <c r="H73" s="129"/>
    </row>
    <row r="74" spans="1:8" ht="14.25" customHeight="1">
      <c r="A74" s="114"/>
      <c r="B74" s="115"/>
      <c r="C74" s="116">
        <f>IF(A76="","",INDEX('TAKIM KAYIT'!$C$6:$C$245,MATCH(C76,'TAKIM KAYIT'!$C$6:$C$245,0)-2))</f>
        <v>19</v>
      </c>
      <c r="D74" s="117" t="str">
        <f>IF(ISERROR(VLOOKUP($C74,'START LİSTE'!$B$6:$F$1027,2,0)),"",VLOOKUP($C74,'START LİSTE'!$B$6:$F$1027,2,0))</f>
        <v>HAKAN TUNÇ</v>
      </c>
      <c r="E74" s="118" t="str">
        <f>IF(ISERROR(VLOOKUP($C74,'START LİSTE'!$B$6:$F$1027,4,0)),"",VLOOKUP($C74,'START LİSTE'!$B$6:$F$1027,4,0))</f>
        <v>T</v>
      </c>
      <c r="F74" s="119" t="str">
        <f>IF(ISERROR(VLOOKUP($C74,'FERDİ SONUÇ'!$B$6:$H$862,6,0)),"",VLOOKUP($C74,'FERDİ SONUÇ'!$B$6:$H$862,6,0))</f>
        <v>-</v>
      </c>
      <c r="G74" s="130">
        <f>IF(OR(E74="",F74="DQ",F74="DNF",F74="DNS",F74=""),"-",VLOOKUP(C74,'FERDİ SONUÇ'!$B$6:$H$862,7,0))</f>
        <v>30</v>
      </c>
      <c r="H74" s="121"/>
    </row>
    <row r="75" spans="1:8" ht="14.25" customHeight="1">
      <c r="A75" s="122"/>
      <c r="B75" s="123"/>
      <c r="C75" s="124">
        <f>IF(A76="","",INDEX('TAKIM KAYIT'!$C$6:$C$245,MATCH(C76,'TAKIM KAYIT'!$C$6:$C$245,0)-1))</f>
        <v>20</v>
      </c>
      <c r="D75" s="125" t="str">
        <f>IF(ISERROR(VLOOKUP($C75,'START LİSTE'!$B$6:$F$1027,2,0)),"",VLOOKUP($C75,'START LİSTE'!$B$6:$F$1027,2,0))</f>
        <v>CENKER SAVAŞ</v>
      </c>
      <c r="E75" s="126" t="str">
        <f>IF(ISERROR(VLOOKUP($C75,'START LİSTE'!$B$6:$F$1027,4,0)),"",VLOOKUP($C75,'START LİSTE'!$B$6:$F$1027,4,0))</f>
        <v>T</v>
      </c>
      <c r="F75" s="127" t="str">
        <f>IF(ISERROR(VLOOKUP($C75,'FERDİ SONUÇ'!$B$6:$H$862,6,0)),"",VLOOKUP($C75,'FERDİ SONUÇ'!$B$6:$H$862,6,0))</f>
        <v>-</v>
      </c>
      <c r="G75" s="131">
        <f>IF(OR(E75="",F75="DQ",F75="DNF",F75="DNS",F75=""),"-",VLOOKUP(C75,'FERDİ SONUÇ'!$B$6:$H$862,7,0))</f>
        <v>54</v>
      </c>
      <c r="H75" s="129"/>
    </row>
    <row r="76" spans="1:8" ht="14.25" customHeight="1">
      <c r="A76" s="43">
        <f>IF(ISERROR(SMALL('TAKIM KAYIT'!$A$6:$A$245,18)),"",SMALL('TAKIM KAYIT'!$A$6:$A$245,18))</f>
        <v>18</v>
      </c>
      <c r="B76" s="123" t="str">
        <f>IF(A76="","",VLOOKUP(A76,'TAKIM KAYIT'!$A$6:$J$245,2,FALSE))</f>
        <v>BALIKESİR İL KARMASI</v>
      </c>
      <c r="C76" s="124">
        <f>IF(A76="","",VLOOKUP(A76,'TAKIM KAYIT'!$A$6:$J$245,3,FALSE))</f>
        <v>21</v>
      </c>
      <c r="D76" s="125" t="str">
        <f>IF(ISERROR(VLOOKUP($C76,'START LİSTE'!$B$6:$F$1027,2,0)),"",VLOOKUP($C76,'START LİSTE'!$B$6:$F$1027,2,0))</f>
        <v>EREN EMÜL</v>
      </c>
      <c r="E76" s="126" t="str">
        <f>IF(ISERROR(VLOOKUP($C76,'START LİSTE'!$B$6:$F$1027,4,0)),"",VLOOKUP($C76,'START LİSTE'!$B$6:$F$1027,4,0))</f>
        <v>T</v>
      </c>
      <c r="F76" s="127" t="str">
        <f>IF(ISERROR(VLOOKUP($C76,'FERDİ SONUÇ'!$B$6:$H$862,6,0)),"",VLOOKUP($C76,'FERDİ SONUÇ'!$B$6:$H$862,6,0))</f>
        <v>-</v>
      </c>
      <c r="G76" s="131">
        <f>IF(OR(E76="",F76="DQ",F76="DNF",F76="DNS",F76=""),"-",VLOOKUP(C76,'FERDİ SONUÇ'!$B$6:$H$862,7,0))</f>
        <v>84</v>
      </c>
      <c r="H76" s="129">
        <f>IF(A76="","",VLOOKUP(A76,'TAKIM KAYIT'!$A$6:$K$245,10,FALSE))</f>
        <v>168</v>
      </c>
    </row>
    <row r="77" spans="1:8" ht="14.25" customHeight="1">
      <c r="A77" s="132"/>
      <c r="B77" s="133"/>
      <c r="C77" s="134" t="str">
        <f>IF(A76="","",INDEX('TAKIM KAYIT'!$C$6:$C$245,MATCH(C76,'TAKIM KAYIT'!$C$6:$C$245,0)+1))</f>
        <v>-</v>
      </c>
      <c r="D77" s="135" t="str">
        <f>IF(ISERROR(VLOOKUP($C77,'START LİSTE'!$B$6:$F$1027,2,0)),"",VLOOKUP($C77,'START LİSTE'!$B$6:$F$1027,2,0))</f>
        <v>-</v>
      </c>
      <c r="E77" s="136" t="str">
        <f>IF(ISERROR(VLOOKUP($C77,'START LİSTE'!$B$6:$F$1027,4,0)),"",VLOOKUP($C77,'START LİSTE'!$B$6:$F$1027,4,0))</f>
        <v>T</v>
      </c>
      <c r="F77" s="137">
        <f>IF(ISERROR(VLOOKUP($C77,'FERDİ SONUÇ'!$B$6:$H$862,6,0)),"",VLOOKUP($C77,'FERDİ SONUÇ'!$B$6:$H$862,6,0))</f>
      </c>
      <c r="G77" s="138" t="str">
        <f>IF(OR(E77="",F77="DQ",F77="DNF",F77="DNS",F77=""),"-",VLOOKUP(C77,'FERDİ SONUÇ'!$B$6:$H$862,7,0))</f>
        <v>-</v>
      </c>
      <c r="H77" s="139"/>
    </row>
    <row r="78" spans="1:8" ht="14.25" customHeight="1">
      <c r="A78" s="114"/>
      <c r="B78" s="115"/>
      <c r="C78" s="116">
        <f>IF(A80="","",INDEX('TAKIM KAYIT'!$C$6:$C$245,MATCH(C80,'TAKIM KAYIT'!$C$6:$C$245,0)-2))</f>
        <v>68</v>
      </c>
      <c r="D78" s="117" t="str">
        <f>IF(ISERROR(VLOOKUP($C78,'START LİSTE'!$B$6:$F$1027,2,0)),"",VLOOKUP($C78,'START LİSTE'!$B$6:$F$1027,2,0))</f>
        <v>YASİN ŞAHİN</v>
      </c>
      <c r="E78" s="118" t="str">
        <f>IF(ISERROR(VLOOKUP($C78,'START LİSTE'!$B$6:$F$1027,4,0)),"",VLOOKUP($C78,'START LİSTE'!$B$6:$F$1027,4,0))</f>
        <v>T</v>
      </c>
      <c r="F78" s="119" t="str">
        <f>IF(ISERROR(VLOOKUP($C78,'FERDİ SONUÇ'!$B$6:$H$862,6,0)),"",VLOOKUP($C78,'FERDİ SONUÇ'!$B$6:$H$862,6,0))</f>
        <v>-</v>
      </c>
      <c r="G78" s="130">
        <f>IF(OR(E78="",F78="DQ",F78="DNF",F78="DNS",F78=""),"-",VLOOKUP(C78,'FERDİ SONUÇ'!$B$6:$H$862,7,0))</f>
        <v>83</v>
      </c>
      <c r="H78" s="121"/>
    </row>
    <row r="79" spans="1:8" ht="14.25" customHeight="1">
      <c r="A79" s="122"/>
      <c r="B79" s="123"/>
      <c r="C79" s="124">
        <f>IF(A80="","",INDEX('TAKIM KAYIT'!$C$6:$C$245,MATCH(C80,'TAKIM KAYIT'!$C$6:$C$245,0)-1))</f>
        <v>69</v>
      </c>
      <c r="D79" s="125" t="str">
        <f>IF(ISERROR(VLOOKUP($C79,'START LİSTE'!$B$6:$F$1027,2,0)),"",VLOOKUP($C79,'START LİSTE'!$B$6:$F$1027,2,0))</f>
        <v>MUHAMMET HALİT TAŞ</v>
      </c>
      <c r="E79" s="126" t="str">
        <f>IF(ISERROR(VLOOKUP($C79,'START LİSTE'!$B$6:$F$1027,4,0)),"",VLOOKUP($C79,'START LİSTE'!$B$6:$F$1027,4,0))</f>
        <v>T</v>
      </c>
      <c r="F79" s="127">
        <f>IF(ISERROR(VLOOKUP($C79,'FERDİ SONUÇ'!$B$6:$H$862,6,0)),"",VLOOKUP($C79,'FERDİ SONUÇ'!$B$6:$H$862,6,0))</f>
        <v>700</v>
      </c>
      <c r="G79" s="131">
        <f>IF(OR(E79="",F79="DQ",F79="DNF",F79="DNS",F79=""),"-",VLOOKUP(C79,'FERDİ SONUÇ'!$B$6:$H$862,7,0))</f>
        <v>8</v>
      </c>
      <c r="H79" s="129"/>
    </row>
    <row r="80" spans="1:8" ht="14.25" customHeight="1">
      <c r="A80" s="43">
        <f>IF(ISERROR(SMALL('TAKIM KAYIT'!$A$6:$A$245,19)),"",SMALL('TAKIM KAYIT'!$A$6:$A$245,19))</f>
        <v>19</v>
      </c>
      <c r="B80" s="123" t="str">
        <f>IF(A80="","",VLOOKUP(A80,'TAKIM KAYIT'!$A$6:$J$245,2,FALSE))</f>
        <v>KIRŞEHİR</v>
      </c>
      <c r="C80" s="124">
        <f>IF(A80="","",VLOOKUP(A80,'TAKIM KAYIT'!$A$6:$J$245,3,FALSE))</f>
        <v>70</v>
      </c>
      <c r="D80" s="125" t="str">
        <f>IF(ISERROR(VLOOKUP($C80,'START LİSTE'!$B$6:$F$1027,2,0)),"",VLOOKUP($C80,'START LİSTE'!$B$6:$F$1027,2,0))</f>
        <v>GÖKHAN GÖK</v>
      </c>
      <c r="E80" s="126" t="str">
        <f>IF(ISERROR(VLOOKUP($C80,'START LİSTE'!$B$6:$F$1027,4,0)),"",VLOOKUP($C80,'START LİSTE'!$B$6:$F$1027,4,0))</f>
        <v>T</v>
      </c>
      <c r="F80" s="127" t="str">
        <f>IF(ISERROR(VLOOKUP($C80,'FERDİ SONUÇ'!$B$6:$H$862,6,0)),"",VLOOKUP($C80,'FERDİ SONUÇ'!$B$6:$H$862,6,0))</f>
        <v>-</v>
      </c>
      <c r="G80" s="131">
        <f>IF(OR(E80="",F80="DQ",F80="DNF",F80="DNS",F80=""),"-",VLOOKUP(C80,'FERDİ SONUÇ'!$B$6:$H$862,7,0))</f>
        <v>82</v>
      </c>
      <c r="H80" s="129">
        <f>IF(A80="","",VLOOKUP(A80,'TAKIM KAYIT'!$A$6:$K$245,10,FALSE))</f>
        <v>173</v>
      </c>
    </row>
    <row r="81" spans="1:8" ht="14.25" customHeight="1">
      <c r="A81" s="122"/>
      <c r="B81" s="123"/>
      <c r="C81" s="124" t="str">
        <f>IF(A80="","",INDEX('TAKIM KAYIT'!$C$6:$C$245,MATCH(C80,'TAKIM KAYIT'!$C$6:$C$245,0)+1))</f>
        <v>-</v>
      </c>
      <c r="D81" s="125" t="str">
        <f>IF(ISERROR(VLOOKUP($C81,'START LİSTE'!$B$6:$F$1027,2,0)),"",VLOOKUP($C81,'START LİSTE'!$B$6:$F$1027,2,0))</f>
        <v>-</v>
      </c>
      <c r="E81" s="126" t="str">
        <f>IF(ISERROR(VLOOKUP($C81,'START LİSTE'!$B$6:$F$1027,4,0)),"",VLOOKUP($C81,'START LİSTE'!$B$6:$F$1027,4,0))</f>
        <v>T</v>
      </c>
      <c r="F81" s="127">
        <f>IF(ISERROR(VLOOKUP($C81,'FERDİ SONUÇ'!$B$6:$H$862,6,0)),"",VLOOKUP($C81,'FERDİ SONUÇ'!$B$6:$H$862,6,0))</f>
      </c>
      <c r="G81" s="131" t="str">
        <f>IF(OR(E81="",F81="DQ",F81="DNF",F81="DNS",F81=""),"-",VLOOKUP(C81,'FERDİ SONUÇ'!$B$6:$H$862,7,0))</f>
        <v>-</v>
      </c>
      <c r="H81" s="129"/>
    </row>
    <row r="82" spans="1:8" ht="14.25" customHeight="1">
      <c r="A82" s="114"/>
      <c r="B82" s="115"/>
      <c r="C82" s="116">
        <f>IF(A84="","",INDEX('TAKIM KAYIT'!$C$6:$C$245,MATCH(C84,'TAKIM KAYIT'!$C$6:$C$245,0)-2))</f>
        <v>33</v>
      </c>
      <c r="D82" s="117" t="str">
        <f>IF(ISERROR(VLOOKUP($C82,'START LİSTE'!$B$6:$F$1027,2,0)),"",VLOOKUP($C82,'START LİSTE'!$B$6:$F$1027,2,0))</f>
        <v>FERHAT GÜNDÜZ</v>
      </c>
      <c r="E82" s="118" t="str">
        <f>IF(ISERROR(VLOOKUP($C82,'START LİSTE'!$B$6:$F$1027,4,0)),"",VLOOKUP($C82,'START LİSTE'!$B$6:$F$1027,4,0))</f>
        <v>T</v>
      </c>
      <c r="F82" s="119" t="str">
        <f>IF(ISERROR(VLOOKUP($C82,'FERDİ SONUÇ'!$B$6:$H$862,6,0)),"",VLOOKUP($C82,'FERDİ SONUÇ'!$B$6:$H$862,6,0))</f>
        <v>-</v>
      </c>
      <c r="G82" s="130">
        <f>IF(OR(E82="",F82="DQ",F82="DNF",F82="DNS",F82=""),"-",VLOOKUP(C82,'FERDİ SONUÇ'!$B$6:$H$862,7,0))</f>
        <v>48</v>
      </c>
      <c r="H82" s="121"/>
    </row>
    <row r="83" spans="1:8" ht="14.25" customHeight="1">
      <c r="A83" s="122"/>
      <c r="B83" s="123"/>
      <c r="C83" s="124">
        <f>IF(A84="","",INDEX('TAKIM KAYIT'!$C$6:$C$245,MATCH(C84,'TAKIM KAYIT'!$C$6:$C$245,0)-1))</f>
        <v>34</v>
      </c>
      <c r="D83" s="125" t="str">
        <f>IF(ISERROR(VLOOKUP($C83,'START LİSTE'!$B$6:$F$1027,2,0)),"",VLOOKUP($C83,'START LİSTE'!$B$6:$F$1027,2,0))</f>
        <v>AZİZCAN BERBER</v>
      </c>
      <c r="E83" s="126" t="str">
        <f>IF(ISERROR(VLOOKUP($C83,'START LİSTE'!$B$6:$F$1027,4,0)),"",VLOOKUP($C83,'START LİSTE'!$B$6:$F$1027,4,0))</f>
        <v>T</v>
      </c>
      <c r="F83" s="127" t="str">
        <f>IF(ISERROR(VLOOKUP($C83,'FERDİ SONUÇ'!$B$6:$H$862,6,0)),"",VLOOKUP($C83,'FERDİ SONUÇ'!$B$6:$H$862,6,0))</f>
        <v>-</v>
      </c>
      <c r="G83" s="131">
        <f>IF(OR(E83="",F83="DQ",F83="DNF",F83="DNS",F83=""),"-",VLOOKUP(C83,'FERDİ SONUÇ'!$B$6:$H$862,7,0))</f>
        <v>72</v>
      </c>
      <c r="H83" s="129"/>
    </row>
    <row r="84" spans="1:8" ht="14.25" customHeight="1">
      <c r="A84" s="43">
        <f>IF(ISERROR(SMALL('TAKIM KAYIT'!$A$6:$A$245,20)),"",SMALL('TAKIM KAYIT'!$A$6:$A$245,20))</f>
        <v>20</v>
      </c>
      <c r="B84" s="123" t="str">
        <f>IF(A84="","",VLOOKUP(A84,'TAKIM KAYIT'!$A$6:$J$245,2,FALSE))</f>
        <v>DÜZCE</v>
      </c>
      <c r="C84" s="124">
        <f>IF(A84="","",VLOOKUP(A84,'TAKIM KAYIT'!$A$6:$J$245,3,FALSE))</f>
        <v>35</v>
      </c>
      <c r="D84" s="125" t="str">
        <f>IF(ISERROR(VLOOKUP($C84,'START LİSTE'!$B$6:$F$1027,2,0)),"",VLOOKUP($C84,'START LİSTE'!$B$6:$F$1027,2,0))</f>
        <v>DURMUŞCAN ARICI</v>
      </c>
      <c r="E84" s="126" t="str">
        <f>IF(ISERROR(VLOOKUP($C84,'START LİSTE'!$B$6:$F$1027,4,0)),"",VLOOKUP($C84,'START LİSTE'!$B$6:$F$1027,4,0))</f>
        <v>T</v>
      </c>
      <c r="F84" s="127" t="str">
        <f>IF(ISERROR(VLOOKUP($C84,'FERDİ SONUÇ'!$B$6:$H$862,6,0)),"",VLOOKUP($C84,'FERDİ SONUÇ'!$B$6:$H$862,6,0))</f>
        <v>-</v>
      </c>
      <c r="G84" s="131">
        <f>IF(OR(E84="",F84="DQ",F84="DNF",F84="DNS",F84=""),"-",VLOOKUP(C84,'FERDİ SONUÇ'!$B$6:$H$862,7,0))</f>
        <v>70</v>
      </c>
      <c r="H84" s="129">
        <f>IF(A84="","",VLOOKUP(A84,'TAKIM KAYIT'!$A$6:$K$245,10,FALSE))</f>
        <v>190</v>
      </c>
    </row>
    <row r="85" spans="1:8" ht="14.25" customHeight="1">
      <c r="A85" s="122"/>
      <c r="B85" s="123"/>
      <c r="C85" s="124">
        <f>IF(A84="","",INDEX('TAKIM KAYIT'!$C$6:$C$245,MATCH(C84,'TAKIM KAYIT'!$C$6:$C$245,0)+1))</f>
        <v>36</v>
      </c>
      <c r="D85" s="125" t="str">
        <f>IF(ISERROR(VLOOKUP($C85,'START LİSTE'!$B$6:$F$1027,2,0)),"",VLOOKUP($C85,'START LİSTE'!$B$6:$F$1027,2,0))</f>
        <v>EMİRHAN DİNER</v>
      </c>
      <c r="E85" s="126" t="str">
        <f>IF(ISERROR(VLOOKUP($C85,'START LİSTE'!$B$6:$F$1027,4,0)),"",VLOOKUP($C85,'START LİSTE'!$B$6:$F$1027,4,0))</f>
        <v>T</v>
      </c>
      <c r="F85" s="127" t="str">
        <f>IF(ISERROR(VLOOKUP($C85,'FERDİ SONUÇ'!$B$6:$H$862,6,0)),"",VLOOKUP($C85,'FERDİ SONUÇ'!$B$6:$H$862,6,0))</f>
        <v>-</v>
      </c>
      <c r="G85" s="131">
        <f>IF(OR(E85="",F85="DQ",F85="DNF",F85="DNS",F85=""),"-",VLOOKUP(C85,'FERDİ SONUÇ'!$B$6:$H$862,7,0))</f>
        <v>73</v>
      </c>
      <c r="H85" s="129"/>
    </row>
    <row r="86" spans="1:8" ht="14.25" customHeight="1">
      <c r="A86" s="114"/>
      <c r="B86" s="115"/>
      <c r="C86" s="116">
        <f>IF(A88="","",INDEX('TAKIM KAYIT'!$C$6:$C$245,MATCH(C88,'TAKIM KAYIT'!$C$6:$C$245,0)-2))</f>
        <v>8</v>
      </c>
      <c r="D86" s="117" t="str">
        <f>IF(ISERROR(VLOOKUP($C86,'START LİSTE'!$B$6:$F$1027,2,0)),"",VLOOKUP($C86,'START LİSTE'!$B$6:$F$1027,2,0))</f>
        <v>YAKUP YETİKER</v>
      </c>
      <c r="E86" s="118" t="str">
        <f>IF(ISERROR(VLOOKUP($C86,'START LİSTE'!$B$6:$F$1027,4,0)),"",VLOOKUP($C86,'START LİSTE'!$B$6:$F$1027,4,0))</f>
        <v>T</v>
      </c>
      <c r="F86" s="119" t="str">
        <f>IF(ISERROR(VLOOKUP($C86,'FERDİ SONUÇ'!$B$6:$H$862,6,0)),"",VLOOKUP($C86,'FERDİ SONUÇ'!$B$6:$H$862,6,0))</f>
        <v>-</v>
      </c>
      <c r="G86" s="130">
        <f>IF(OR(E86="",F86="DQ",F86="DNF",F86="DNS",F86=""),"-",VLOOKUP(C86,'FERDİ SONUÇ'!$B$6:$H$862,7,0))</f>
        <v>43</v>
      </c>
      <c r="H86" s="121"/>
    </row>
    <row r="87" spans="1:8" ht="14.25" customHeight="1">
      <c r="A87" s="122"/>
      <c r="B87" s="123"/>
      <c r="C87" s="124">
        <f>IF(A88="","",INDEX('TAKIM KAYIT'!$C$6:$C$245,MATCH(C88,'TAKIM KAYIT'!$C$6:$C$245,0)-1))</f>
        <v>9</v>
      </c>
      <c r="D87" s="125" t="str">
        <f>IF(ISERROR(VLOOKUP($C87,'START LİSTE'!$B$6:$F$1027,2,0)),"",VLOOKUP($C87,'START LİSTE'!$B$6:$F$1027,2,0))</f>
        <v>ALPEREN ÖZDEMİR</v>
      </c>
      <c r="E87" s="126" t="str">
        <f>IF(ISERROR(VLOOKUP($C87,'START LİSTE'!$B$6:$F$1027,4,0)),"",VLOOKUP($C87,'START LİSTE'!$B$6:$F$1027,4,0))</f>
        <v>T</v>
      </c>
      <c r="F87" s="127" t="str">
        <f>IF(ISERROR(VLOOKUP($C87,'FERDİ SONUÇ'!$B$6:$H$862,6,0)),"",VLOOKUP($C87,'FERDİ SONUÇ'!$B$6:$H$862,6,0))</f>
        <v>-</v>
      </c>
      <c r="G87" s="131">
        <f>IF(OR(E87="",F87="DQ",F87="DNF",F87="DNS",F87=""),"-",VLOOKUP(C87,'FERDİ SONUÇ'!$B$6:$H$862,7,0))</f>
        <v>77</v>
      </c>
      <c r="H87" s="129"/>
    </row>
    <row r="88" spans="1:8" ht="14.25" customHeight="1">
      <c r="A88" s="43">
        <f>IF(ISERROR(SMALL('TAKIM KAYIT'!$A$6:$A$245,21)),"",SMALL('TAKIM KAYIT'!$A$6:$A$245,21))</f>
        <v>21</v>
      </c>
      <c r="B88" s="123" t="str">
        <f>IF(A88="","",VLOOKUP(A88,'TAKIM KAYIT'!$A$6:$J$245,2,FALSE))</f>
        <v>ANKARA İL KARMASI</v>
      </c>
      <c r="C88" s="124">
        <f>IF(A88="","",VLOOKUP(A88,'TAKIM KAYIT'!$A$6:$J$245,3,FALSE))</f>
        <v>10</v>
      </c>
      <c r="D88" s="125" t="str">
        <f>IF(ISERROR(VLOOKUP($C88,'START LİSTE'!$B$6:$F$1027,2,0)),"",VLOOKUP($C88,'START LİSTE'!$B$6:$F$1027,2,0))</f>
        <v>YUSUF CAPAR</v>
      </c>
      <c r="E88" s="126" t="str">
        <f>IF(ISERROR(VLOOKUP($C88,'START LİSTE'!$B$6:$F$1027,4,0)),"",VLOOKUP($C88,'START LİSTE'!$B$6:$F$1027,4,0))</f>
        <v>T</v>
      </c>
      <c r="F88" s="127" t="str">
        <f>IF(ISERROR(VLOOKUP($C88,'FERDİ SONUÇ'!$B$6:$H$862,6,0)),"",VLOOKUP($C88,'FERDİ SONUÇ'!$B$6:$H$862,6,0))</f>
        <v>-</v>
      </c>
      <c r="G88" s="131">
        <f>IF(OR(E88="",F88="DQ",F88="DNF",F88="DNS",F88=""),"-",VLOOKUP(C88,'FERDİ SONUÇ'!$B$6:$H$862,7,0))</f>
        <v>71</v>
      </c>
      <c r="H88" s="129">
        <f>IF(A88="","",VLOOKUP(A88,'TAKIM KAYIT'!$A$6:$J$245,10,FALSE))</f>
        <v>191</v>
      </c>
    </row>
    <row r="89" spans="1:8" ht="14.25" customHeight="1">
      <c r="A89" s="122"/>
      <c r="B89" s="123"/>
      <c r="C89" s="124">
        <f>IF(A88="","",INDEX('TAKIM KAYIT'!$C$6:$C$245,MATCH(C88,'TAKIM KAYIT'!$C$6:$C$245,0)+1))</f>
        <v>11</v>
      </c>
      <c r="D89" s="125" t="str">
        <f>IF(ISERROR(VLOOKUP($C89,'START LİSTE'!$B$6:$F$1027,2,0)),"",VLOOKUP($C89,'START LİSTE'!$B$6:$F$1027,2,0))</f>
        <v>YİĞİT GÖKMEN</v>
      </c>
      <c r="E89" s="126" t="str">
        <f>IF(ISERROR(VLOOKUP($C89,'START LİSTE'!$B$6:$F$1027,4,0)),"",VLOOKUP($C89,'START LİSTE'!$B$6:$F$1027,4,0))</f>
        <v>T</v>
      </c>
      <c r="F89" s="127" t="str">
        <f>IF(ISERROR(VLOOKUP($C89,'FERDİ SONUÇ'!$B$6:$H$862,6,0)),"",VLOOKUP($C89,'FERDİ SONUÇ'!$B$6:$H$862,6,0))</f>
        <v>-</v>
      </c>
      <c r="G89" s="131">
        <f>IF(OR(E89="",F89="DQ",F89="DNF",F89="DNS",F89=""),"-",VLOOKUP(C89,'FERDİ SONUÇ'!$B$6:$H$862,7,0))</f>
        <v>80</v>
      </c>
      <c r="H89" s="129"/>
    </row>
    <row r="90" spans="1:8" ht="14.25" customHeight="1">
      <c r="A90" s="114"/>
      <c r="B90" s="115"/>
      <c r="C90" s="116">
        <f>IF(A92="","",INDEX('TAKIM KAYIT'!$C$6:$C$245,MATCH(C92,'TAKIM KAYIT'!$C$6:$C$245,0)-2))</f>
        <v>25</v>
      </c>
      <c r="D90" s="117" t="str">
        <f>IF(ISERROR(VLOOKUP($C90,'START LİSTE'!$B$6:$F$1027,2,0)),"",VLOOKUP($C90,'START LİSTE'!$B$6:$F$1027,2,0))</f>
        <v>ÖMER YILDIRIM</v>
      </c>
      <c r="E90" s="118" t="str">
        <f>IF(ISERROR(VLOOKUP($C90,'START LİSTE'!$B$6:$F$1027,4,0)),"",VLOOKUP($C90,'START LİSTE'!$B$6:$F$1027,4,0))</f>
        <v>T</v>
      </c>
      <c r="F90" s="119">
        <f>IF(ISERROR(VLOOKUP($C90,'FERDİ SONUÇ'!$B$6:$H$862,6,0)),"",VLOOKUP($C90,'FERDİ SONUÇ'!$B$6:$H$862,6,0))</f>
        <v>707</v>
      </c>
      <c r="G90" s="130">
        <f>IF(OR(E90="",F90="DQ",F90="DNF",F90="DNS",F90=""),"-",VLOOKUP(C90,'FERDİ SONUÇ'!$B$6:$H$862,7,0))</f>
        <v>12</v>
      </c>
      <c r="H90" s="121"/>
    </row>
    <row r="91" spans="1:8" ht="14.25" customHeight="1">
      <c r="A91" s="122"/>
      <c r="B91" s="123"/>
      <c r="C91" s="124">
        <f>IF(A92="","",INDEX('TAKIM KAYIT'!$C$6:$C$245,MATCH(C92,'TAKIM KAYIT'!$C$6:$C$245,0)-1))</f>
        <v>26</v>
      </c>
      <c r="D91" s="125" t="str">
        <f>IF(ISERROR(VLOOKUP($C91,'START LİSTE'!$B$6:$F$1027,2,0)),"",VLOOKUP($C91,'START LİSTE'!$B$6:$F$1027,2,0))</f>
        <v>RECEP KENBER</v>
      </c>
      <c r="E91" s="126" t="str">
        <f>IF(ISERROR(VLOOKUP($C91,'START LİSTE'!$B$6:$F$1027,4,0)),"",VLOOKUP($C91,'START LİSTE'!$B$6:$F$1027,4,0))</f>
        <v>T</v>
      </c>
      <c r="F91" s="127" t="str">
        <f>IF(ISERROR(VLOOKUP($C91,'FERDİ SONUÇ'!$B$6:$H$862,6,0)),"",VLOOKUP($C91,'FERDİ SONUÇ'!$B$6:$H$862,6,0))</f>
        <v>DNF</v>
      </c>
      <c r="G91" s="131" t="str">
        <f>IF(OR(E91="",F91="DQ",F91="DNF",F91="DNS",F91=""),"-",VLOOKUP(C91,'FERDİ SONUÇ'!$B$6:$H$862,7,0))</f>
        <v>-</v>
      </c>
      <c r="H91" s="129"/>
    </row>
    <row r="92" spans="1:8" ht="14.25" customHeight="1">
      <c r="A92" s="43">
        <f>IF(ISERROR(SMALL('TAKIM KAYIT'!$A$6:$A$245,22)),"",SMALL('TAKIM KAYIT'!$A$6:$A$245,22))</f>
        <v>1044</v>
      </c>
      <c r="B92" s="123" t="str">
        <f>IF(A92="","",VLOOKUP(A92,'TAKIM KAYIT'!$A$6:$J$245,2,FALSE))</f>
        <v>BİNGÖL</v>
      </c>
      <c r="C92" s="124">
        <f>IF(A92="","",VLOOKUP(A92,'TAKIM KAYIT'!$A$6:$J$245,3,FALSE))</f>
        <v>27</v>
      </c>
      <c r="D92" s="125" t="str">
        <f>IF(ISERROR(VLOOKUP($C92,'START LİSTE'!$B$6:$F$1027,2,0)),"",VLOOKUP($C92,'START LİSTE'!$B$6:$F$1027,2,0))</f>
        <v>ÖZGÜR İLHAN</v>
      </c>
      <c r="E92" s="126" t="str">
        <f>IF(ISERROR(VLOOKUP($C92,'START LİSTE'!$B$6:$F$1027,4,0)),"",VLOOKUP($C92,'START LİSTE'!$B$6:$F$1027,4,0))</f>
        <v>T</v>
      </c>
      <c r="F92" s="127">
        <f>IF(ISERROR(VLOOKUP($C92,'FERDİ SONUÇ'!$B$6:$H$862,6,0)),"",VLOOKUP($C92,'FERDİ SONUÇ'!$B$6:$H$862,6,0))</f>
        <v>706</v>
      </c>
      <c r="G92" s="131">
        <f>IF(OR(E92="",F92="DQ",F92="DNF",F92="DNS",F92=""),"-",VLOOKUP(C92,'FERDİ SONUÇ'!$B$6:$H$862,7,0))</f>
        <v>11</v>
      </c>
      <c r="H92" s="129" t="str">
        <f>IF(A92="","",VLOOKUP(A92,'TAKIM KAYIT'!$A$6:$K$245,10,FALSE))</f>
        <v>DQ</v>
      </c>
    </row>
    <row r="93" spans="1:8" ht="14.25" customHeight="1">
      <c r="A93" s="122"/>
      <c r="B93" s="123"/>
      <c r="C93" s="124">
        <f>IF(A92="","",INDEX('TAKIM KAYIT'!$C$6:$C$245,MATCH(C92,'TAKIM KAYIT'!$C$6:$C$245,0)+1))</f>
        <v>28</v>
      </c>
      <c r="D93" s="125" t="str">
        <f>IF(ISERROR(VLOOKUP($C93,'START LİSTE'!$B$6:$F$1027,2,0)),"",VLOOKUP($C93,'START LİSTE'!$B$6:$F$1027,2,0))</f>
        <v>YUSUF ELELÇİ</v>
      </c>
      <c r="E93" s="126" t="str">
        <f>IF(ISERROR(VLOOKUP($C93,'START LİSTE'!$B$6:$F$1027,4,0)),"",VLOOKUP($C93,'START LİSTE'!$B$6:$F$1027,4,0))</f>
        <v>T</v>
      </c>
      <c r="F93" s="127" t="str">
        <f>IF(ISERROR(VLOOKUP($C93,'FERDİ SONUÇ'!$B$6:$H$862,6,0)),"",VLOOKUP($C93,'FERDİ SONUÇ'!$B$6:$H$862,6,0))</f>
        <v>DNF</v>
      </c>
      <c r="G93" s="131" t="str">
        <f>IF(OR(E93="",F93="DQ",F93="DNF",F93="DNS",F93=""),"-",VLOOKUP(C93,'FERDİ SONUÇ'!$B$6:$H$862,7,0))</f>
        <v>-</v>
      </c>
      <c r="H93" s="129"/>
    </row>
    <row r="94" spans="1:8" ht="14.25" customHeight="1">
      <c r="A94" s="114"/>
      <c r="B94" s="115"/>
      <c r="C94" s="116">
        <f>IF(A96="","",INDEX('TAKIM KAYIT'!$C$6:$C$245,MATCH(C96,'TAKIM KAYIT'!$C$6:$C$245,0)-2))</f>
        <v>29</v>
      </c>
      <c r="D94" s="117" t="str">
        <f>IF(ISERROR(VLOOKUP($C94,'START LİSTE'!$B$6:$F$1027,2,0)),"",VLOOKUP($C94,'START LİSTE'!$B$6:$F$1027,2,0))</f>
        <v>FERHAT PEKMEZ</v>
      </c>
      <c r="E94" s="118" t="str">
        <f>IF(ISERROR(VLOOKUP($C94,'START LİSTE'!$B$6:$F$1027,4,0)),"",VLOOKUP($C94,'START LİSTE'!$B$6:$F$1027,4,0))</f>
        <v>T</v>
      </c>
      <c r="F94" s="119" t="str">
        <f>IF(ISERROR(VLOOKUP($C94,'FERDİ SONUÇ'!$B$6:$H$862,6,0)),"",VLOOKUP($C94,'FERDİ SONUÇ'!$B$6:$H$862,6,0))</f>
        <v>DNF</v>
      </c>
      <c r="G94" s="130" t="str">
        <f>IF(OR(E94="",F94="DQ",F94="DNF",F94="DNS",F94=""),"-",VLOOKUP(C94,'FERDİ SONUÇ'!$B$6:$H$862,7,0))</f>
        <v>-</v>
      </c>
      <c r="H94" s="121"/>
    </row>
    <row r="95" spans="1:8" ht="14.25" customHeight="1">
      <c r="A95" s="122"/>
      <c r="B95" s="123"/>
      <c r="C95" s="124">
        <f>IF(A96="","",INDEX('TAKIM KAYIT'!$C$6:$C$245,MATCH(C96,'TAKIM KAYIT'!$C$6:$C$245,0)-1))</f>
        <v>30</v>
      </c>
      <c r="D95" s="125" t="str">
        <f>IF(ISERROR(VLOOKUP($C95,'START LİSTE'!$B$6:$F$1027,2,0)),"",VLOOKUP($C95,'START LİSTE'!$B$6:$F$1027,2,0))</f>
        <v>CEBRAİL AYKAÇ</v>
      </c>
      <c r="E95" s="126" t="str">
        <f>IF(ISERROR(VLOOKUP($C95,'START LİSTE'!$B$6:$F$1027,4,0)),"",VLOOKUP($C95,'START LİSTE'!$B$6:$F$1027,4,0))</f>
        <v>T</v>
      </c>
      <c r="F95" s="127" t="str">
        <f>IF(ISERROR(VLOOKUP($C95,'FERDİ SONUÇ'!$B$6:$H$862,6,0)),"",VLOOKUP($C95,'FERDİ SONUÇ'!$B$6:$H$862,6,0))</f>
        <v>-</v>
      </c>
      <c r="G95" s="131">
        <f>IF(OR(E95="",F95="DQ",F95="DNF",F95="DNS",F95=""),"-",VLOOKUP(C95,'FERDİ SONUÇ'!$B$6:$H$862,7,0))</f>
        <v>27</v>
      </c>
      <c r="H95" s="129"/>
    </row>
    <row r="96" spans="1:8" ht="14.25" customHeight="1">
      <c r="A96" s="43">
        <f>IF(ISERROR(SMALL('TAKIM KAYIT'!$A$6:$A$245,23)),"",SMALL('TAKIM KAYIT'!$A$6:$A$245,23))</f>
        <v>1050</v>
      </c>
      <c r="B96" s="123" t="str">
        <f>IF(A96="","",VLOOKUP(A96,'TAKIM KAYIT'!$A$6:$J$245,2,FALSE))</f>
        <v>DİYARBAKIR</v>
      </c>
      <c r="C96" s="124">
        <f>IF(A96="","",VLOOKUP(A96,'TAKIM KAYIT'!$A$6:$J$245,3,FALSE))</f>
        <v>31</v>
      </c>
      <c r="D96" s="125" t="str">
        <f>IF(ISERROR(VLOOKUP($C96,'START LİSTE'!$B$6:$F$1027,2,0)),"",VLOOKUP($C96,'START LİSTE'!$B$6:$F$1027,2,0))</f>
        <v>BÜNYAMİN BÖRTEN</v>
      </c>
      <c r="E96" s="126" t="str">
        <f>IF(ISERROR(VLOOKUP($C96,'START LİSTE'!$B$6:$F$1027,4,0)),"",VLOOKUP($C96,'START LİSTE'!$B$6:$F$1027,4,0))</f>
        <v>T</v>
      </c>
      <c r="F96" s="127" t="str">
        <f>IF(ISERROR(VLOOKUP($C96,'FERDİ SONUÇ'!$B$6:$H$862,6,0)),"",VLOOKUP($C96,'FERDİ SONUÇ'!$B$6:$H$862,6,0))</f>
        <v>-</v>
      </c>
      <c r="G96" s="131">
        <f>IF(OR(E96="",F96="DQ",F96="DNF",F96="DNS",F96=""),"-",VLOOKUP(C96,'FERDİ SONUÇ'!$B$6:$H$862,7,0))</f>
        <v>58</v>
      </c>
      <c r="H96" s="129" t="str">
        <f>IF(A96="","",VLOOKUP(A96,'TAKIM KAYIT'!$A$6:$K$245,10,FALSE))</f>
        <v>DQ</v>
      </c>
    </row>
    <row r="97" spans="1:8" ht="14.25" customHeight="1">
      <c r="A97" s="122"/>
      <c r="B97" s="123"/>
      <c r="C97" s="124">
        <f>IF(A96="","",INDEX('TAKIM KAYIT'!$C$6:$C$245,MATCH(C96,'TAKIM KAYIT'!$C$6:$C$245,0)+1))</f>
        <v>32</v>
      </c>
      <c r="D97" s="125" t="str">
        <f>IF(ISERROR(VLOOKUP($C97,'START LİSTE'!$B$6:$F$1027,2,0)),"",VLOOKUP($C97,'START LİSTE'!$B$6:$F$1027,2,0))</f>
        <v>UĞUR  BAYRAM</v>
      </c>
      <c r="E97" s="126" t="str">
        <f>IF(ISERROR(VLOOKUP($C97,'START LİSTE'!$B$6:$F$1027,4,0)),"",VLOOKUP($C97,'START LİSTE'!$B$6:$F$1027,4,0))</f>
        <v>T</v>
      </c>
      <c r="F97" s="127" t="str">
        <f>IF(ISERROR(VLOOKUP($C97,'FERDİ SONUÇ'!$B$6:$H$862,6,0)),"",VLOOKUP($C97,'FERDİ SONUÇ'!$B$6:$H$862,6,0))</f>
        <v>DNF</v>
      </c>
      <c r="G97" s="131" t="str">
        <f>IF(OR(E97="",F97="DQ",F97="DNF",F97="DNS",F97=""),"-",VLOOKUP(C97,'FERDİ SONUÇ'!$B$6:$H$862,7,0))</f>
        <v>-</v>
      </c>
      <c r="H97" s="129"/>
    </row>
    <row r="98" spans="1:8" ht="14.25" customHeight="1">
      <c r="A98" s="114"/>
      <c r="B98" s="115"/>
      <c r="C98" s="116">
        <f>IF(A100="","",INDEX('TAKIM KAYIT'!$C$6:$C$245,MATCH(C100,'TAKIM KAYIT'!$C$6:$C$245,0)-2))</f>
        <v>37</v>
      </c>
      <c r="D98" s="117" t="str">
        <f>IF(ISERROR(VLOOKUP($C98,'START LİSTE'!$B$6:$F$1027,2,0)),"",VLOOKUP($C98,'START LİSTE'!$B$6:$F$1027,2,0))</f>
        <v>ÖMER SEDAR CAN</v>
      </c>
      <c r="E98" s="118" t="str">
        <f>IF(ISERROR(VLOOKUP($C98,'START LİSTE'!$B$6:$F$1027,4,0)),"",VLOOKUP($C98,'START LİSTE'!$B$6:$F$1027,4,0))</f>
        <v>T</v>
      </c>
      <c r="F98" s="119" t="str">
        <f>IF(ISERROR(VLOOKUP($C98,'FERDİ SONUÇ'!$B$6:$H$862,6,0)),"",VLOOKUP($C98,'FERDİ SONUÇ'!$B$6:$H$862,6,0))</f>
        <v>DNF</v>
      </c>
      <c r="G98" s="130" t="str">
        <f>IF(OR(E98="",F98="DQ",F98="DNF",F98="DNS",F98=""),"-",VLOOKUP(C98,'FERDİ SONUÇ'!$B$6:$H$862,7,0))</f>
        <v>-</v>
      </c>
      <c r="H98" s="121"/>
    </row>
    <row r="99" spans="1:8" ht="14.25" customHeight="1">
      <c r="A99" s="122"/>
      <c r="B99" s="123"/>
      <c r="C99" s="124">
        <f>IF(A100="","",INDEX('TAKIM KAYIT'!$C$6:$C$245,MATCH(C100,'TAKIM KAYIT'!$C$6:$C$245,0)-1))</f>
        <v>38</v>
      </c>
      <c r="D99" s="125" t="str">
        <f>IF(ISERROR(VLOOKUP($C99,'START LİSTE'!$B$6:$F$1027,2,0)),"",VLOOKUP($C99,'START LİSTE'!$B$6:$F$1027,2,0))</f>
        <v>ABDULLAH KILIÇ</v>
      </c>
      <c r="E99" s="126" t="str">
        <f>IF(ISERROR(VLOOKUP($C99,'START LİSTE'!$B$6:$F$1027,4,0)),"",VLOOKUP($C99,'START LİSTE'!$B$6:$F$1027,4,0))</f>
        <v>T</v>
      </c>
      <c r="F99" s="127">
        <f>IF(ISERROR(VLOOKUP($C99,'FERDİ SONUÇ'!$B$6:$H$862,6,0)),"",VLOOKUP($C99,'FERDİ SONUÇ'!$B$6:$H$862,6,0))</f>
        <v>705</v>
      </c>
      <c r="G99" s="131">
        <f>IF(OR(E99="",F99="DQ",F99="DNF",F99="DNS",F99=""),"-",VLOOKUP(C99,'FERDİ SONUÇ'!$B$6:$H$862,7,0))</f>
        <v>10</v>
      </c>
      <c r="H99" s="129"/>
    </row>
    <row r="100" spans="1:8" ht="14.25" customHeight="1">
      <c r="A100" s="43">
        <f>IF(ISERROR(SMALL('TAKIM KAYIT'!$A$6:$A$245,24)),"",SMALL('TAKIM KAYIT'!$A$6:$A$245,24))</f>
        <v>1062</v>
      </c>
      <c r="B100" s="123" t="str">
        <f>IF(A100="","",VLOOKUP(A100,'TAKIM KAYIT'!$A$6:$J$245,2,FALSE))</f>
        <v>ELAZIĞ</v>
      </c>
      <c r="C100" s="124">
        <f>IF(A100="","",VLOOKUP(A100,'TAKIM KAYIT'!$A$6:$J$245,3,FALSE))</f>
        <v>39</v>
      </c>
      <c r="D100" s="125" t="str">
        <f>IF(ISERROR(VLOOKUP($C100,'START LİSTE'!$B$6:$F$1027,2,0)),"",VLOOKUP($C100,'START LİSTE'!$B$6:$F$1027,2,0))</f>
        <v>MUSA ÖZDEMİR</v>
      </c>
      <c r="E100" s="126" t="str">
        <f>IF(ISERROR(VLOOKUP($C100,'START LİSTE'!$B$6:$F$1027,4,0)),"",VLOOKUP($C100,'START LİSTE'!$B$6:$F$1027,4,0))</f>
        <v>T</v>
      </c>
      <c r="F100" s="127" t="str">
        <f>IF(ISERROR(VLOOKUP($C100,'FERDİ SONUÇ'!$B$6:$H$862,6,0)),"",VLOOKUP($C100,'FERDİ SONUÇ'!$B$6:$H$862,6,0))</f>
        <v>-</v>
      </c>
      <c r="G100" s="131">
        <f>IF(OR(E100="",F100="DQ",F100="DNF",F100="DNS",F100=""),"-",VLOOKUP(C100,'FERDİ SONUÇ'!$B$6:$H$862,7,0))</f>
        <v>74</v>
      </c>
      <c r="H100" s="129" t="str">
        <f>IF(A100="","",VLOOKUP(A100,'TAKIM KAYIT'!$A$6:$K$245,10,FALSE))</f>
        <v>DQ</v>
      </c>
    </row>
    <row r="101" spans="1:8" ht="14.25" customHeight="1">
      <c r="A101" s="122"/>
      <c r="B101" s="123"/>
      <c r="C101" s="124">
        <f>IF(A100="","",INDEX('TAKIM KAYIT'!$C$6:$C$245,MATCH(C100,'TAKIM KAYIT'!$C$6:$C$245,0)+1))</f>
        <v>40</v>
      </c>
      <c r="D101" s="125" t="str">
        <f>IF(ISERROR(VLOOKUP($C101,'START LİSTE'!$B$6:$F$1027,2,0)),"",VLOOKUP($C101,'START LİSTE'!$B$6:$F$1027,2,0))</f>
        <v>ZÜLKÜF ZEREN</v>
      </c>
      <c r="E101" s="126" t="str">
        <f>IF(ISERROR(VLOOKUP($C101,'START LİSTE'!$B$6:$F$1027,4,0)),"",VLOOKUP($C101,'START LİSTE'!$B$6:$F$1027,4,0))</f>
        <v>T</v>
      </c>
      <c r="F101" s="127" t="str">
        <f>IF(ISERROR(VLOOKUP($C101,'FERDİ SONUÇ'!$B$6:$H$862,6,0)),"",VLOOKUP($C101,'FERDİ SONUÇ'!$B$6:$H$862,6,0))</f>
        <v>DNS</v>
      </c>
      <c r="G101" s="131" t="str">
        <f>IF(OR(E101="",F101="DQ",F101="DNF",F101="DNS",F101=""),"-",VLOOKUP(C101,'FERDİ SONUÇ'!$B$6:$H$862,7,0))</f>
        <v>-</v>
      </c>
      <c r="H101" s="129"/>
    </row>
    <row r="102" spans="1:8" ht="14.25" customHeight="1">
      <c r="A102" s="114"/>
      <c r="B102" s="115"/>
      <c r="C102" s="116">
        <f>IF(A104="","",INDEX('TAKIM KAYIT'!$C$6:$C$245,MATCH(C104,'TAKIM KAYIT'!$C$6:$C$245,0)-2))</f>
        <v>41</v>
      </c>
      <c r="D102" s="117" t="str">
        <f>IF(ISERROR(VLOOKUP($C102,'START LİSTE'!$B$6:$F$1027,2,0)),"",VLOOKUP($C102,'START LİSTE'!$B$6:$F$1027,2,0))</f>
        <v>ONUR AZİZ CAN</v>
      </c>
      <c r="E102" s="118" t="str">
        <f>IF(ISERROR(VLOOKUP($C102,'START LİSTE'!$B$6:$F$1027,4,0)),"",VLOOKUP($C102,'START LİSTE'!$B$6:$F$1027,4,0))</f>
        <v>T</v>
      </c>
      <c r="F102" s="119" t="str">
        <f>IF(ISERROR(VLOOKUP($C102,'FERDİ SONUÇ'!$B$6:$H$862,6,0)),"",VLOOKUP($C102,'FERDİ SONUÇ'!$B$6:$H$862,6,0))</f>
        <v>DNF</v>
      </c>
      <c r="G102" s="130" t="str">
        <f>IF(OR(E102="",F102="DQ",F102="DNF",F102="DNS",F102=""),"-",VLOOKUP(C102,'FERDİ SONUÇ'!$B$6:$H$862,7,0))</f>
        <v>-</v>
      </c>
      <c r="H102" s="121"/>
    </row>
    <row r="103" spans="1:8" ht="14.25" customHeight="1">
      <c r="A103" s="122"/>
      <c r="B103" s="123"/>
      <c r="C103" s="124">
        <f>IF(A104="","",INDEX('TAKIM KAYIT'!$C$6:$C$245,MATCH(C104,'TAKIM KAYIT'!$C$6:$C$245,0)-1))</f>
        <v>42</v>
      </c>
      <c r="D103" s="125" t="str">
        <f>IF(ISERROR(VLOOKUP($C103,'START LİSTE'!$B$6:$F$1027,2,0)),"",VLOOKUP($C103,'START LİSTE'!$B$6:$F$1027,2,0))</f>
        <v>ENES KELEŞ</v>
      </c>
      <c r="E103" s="126" t="str">
        <f>IF(ISERROR(VLOOKUP($C103,'START LİSTE'!$B$6:$F$1027,4,0)),"",VLOOKUP($C103,'START LİSTE'!$B$6:$F$1027,4,0))</f>
        <v>T</v>
      </c>
      <c r="F103" s="127" t="str">
        <f>IF(ISERROR(VLOOKUP($C103,'FERDİ SONUÇ'!$B$6:$H$862,6,0)),"",VLOOKUP($C103,'FERDİ SONUÇ'!$B$6:$H$862,6,0))</f>
        <v>DNF</v>
      </c>
      <c r="G103" s="131" t="str">
        <f>IF(OR(E103="",F103="DQ",F103="DNF",F103="DNS",F103=""),"-",VLOOKUP(C103,'FERDİ SONUÇ'!$B$6:$H$862,7,0))</f>
        <v>-</v>
      </c>
      <c r="H103" s="129"/>
    </row>
    <row r="104" spans="1:8" ht="14.25" customHeight="1">
      <c r="A104" s="43">
        <f>IF(ISERROR(SMALL('TAKIM KAYIT'!$A$6:$A$245,25)),"",SMALL('TAKIM KAYIT'!$A$6:$A$245,25))</f>
        <v>1068</v>
      </c>
      <c r="B104" s="123" t="str">
        <f>IF(A104="","",VLOOKUP(A104,'TAKIM KAYIT'!$A$6:$J$245,2,FALSE))</f>
        <v>ERZİNCAN</v>
      </c>
      <c r="C104" s="124">
        <f>IF(A104="","",VLOOKUP(A104,'TAKIM KAYIT'!$A$6:$J$245,3,FALSE))</f>
        <v>43</v>
      </c>
      <c r="D104" s="125" t="str">
        <f>IF(ISERROR(VLOOKUP($C104,'START LİSTE'!$B$6:$F$1027,2,0)),"",VLOOKUP($C104,'START LİSTE'!$B$6:$F$1027,2,0))</f>
        <v>YAKUP KELEŞ</v>
      </c>
      <c r="E104" s="126" t="str">
        <f>IF(ISERROR(VLOOKUP($C104,'START LİSTE'!$B$6:$F$1027,4,0)),"",VLOOKUP($C104,'START LİSTE'!$B$6:$F$1027,4,0))</f>
        <v>T</v>
      </c>
      <c r="F104" s="127" t="str">
        <f>IF(ISERROR(VLOOKUP($C104,'FERDİ SONUÇ'!$B$6:$H$862,6,0)),"",VLOOKUP($C104,'FERDİ SONUÇ'!$B$6:$H$862,6,0))</f>
        <v>-</v>
      </c>
      <c r="G104" s="131">
        <f>IF(OR(E104="",F104="DQ",F104="DNF",F104="DNS",F104=""),"-",VLOOKUP(C104,'FERDİ SONUÇ'!$B$6:$H$862,7,0))</f>
        <v>44</v>
      </c>
      <c r="H104" s="129" t="str">
        <f>IF(A104="","",VLOOKUP(A104,'TAKIM KAYIT'!$A$6:$K$245,10,FALSE))</f>
        <v>DQ</v>
      </c>
    </row>
    <row r="105" spans="1:8" ht="14.25" customHeight="1">
      <c r="A105" s="122"/>
      <c r="B105" s="123"/>
      <c r="C105" s="124">
        <f>IF(A104="","",INDEX('TAKIM KAYIT'!$C$6:$C$245,MATCH(C104,'TAKIM KAYIT'!$C$6:$C$245,0)+1))</f>
        <v>44</v>
      </c>
      <c r="D105" s="125" t="str">
        <f>IF(ISERROR(VLOOKUP($C105,'START LİSTE'!$B$6:$F$1027,2,0)),"",VLOOKUP($C105,'START LİSTE'!$B$6:$F$1027,2,0))</f>
        <v>TAHİR YILDIRIM</v>
      </c>
      <c r="E105" s="126" t="str">
        <f>IF(ISERROR(VLOOKUP($C105,'START LİSTE'!$B$6:$F$1027,4,0)),"",VLOOKUP($C105,'START LİSTE'!$B$6:$F$1027,4,0))</f>
        <v>T</v>
      </c>
      <c r="F105" s="127" t="str">
        <f>IF(ISERROR(VLOOKUP($C105,'FERDİ SONUÇ'!$B$6:$H$862,6,0)),"",VLOOKUP($C105,'FERDİ SONUÇ'!$B$6:$H$862,6,0))</f>
        <v>DNF</v>
      </c>
      <c r="G105" s="131" t="str">
        <f>IF(OR(E105="",F105="DQ",F105="DNF",F105="DNS",F105=""),"-",VLOOKUP(C105,'FERDİ SONUÇ'!$B$6:$H$862,7,0))</f>
        <v>-</v>
      </c>
      <c r="H105" s="129"/>
    </row>
    <row r="106" spans="1:8" ht="14.25" customHeight="1">
      <c r="A106" s="114"/>
      <c r="B106" s="115"/>
      <c r="C106" s="116">
        <f>IF(A108="","",INDEX('TAKIM KAYIT'!$C$6:$C$245,MATCH(C108,'TAKIM KAYIT'!$C$6:$C$245,0)-2))</f>
        <v>48</v>
      </c>
      <c r="D106" s="117" t="str">
        <f>IF(ISERROR(VLOOKUP($C106,'START LİSTE'!$B$6:$F$1027,2,0)),"",VLOOKUP($C106,'START LİSTE'!$B$6:$F$1027,2,0))</f>
        <v>FERHAT TAŞDEMİR</v>
      </c>
      <c r="E106" s="118" t="str">
        <f>IF(ISERROR(VLOOKUP($C106,'START LİSTE'!$B$6:$F$1027,4,0)),"",VLOOKUP($C106,'START LİSTE'!$B$6:$F$1027,4,0))</f>
        <v>T</v>
      </c>
      <c r="F106" s="119" t="str">
        <f>IF(ISERROR(VLOOKUP($C106,'FERDİ SONUÇ'!$B$6:$H$862,6,0)),"",VLOOKUP($C106,'FERDİ SONUÇ'!$B$6:$H$862,6,0))</f>
        <v>-</v>
      </c>
      <c r="G106" s="130">
        <f>IF(OR(E106="",F106="DQ",F106="DNF",F106="DNS",F106=""),"-",VLOOKUP(C106,'FERDİ SONUÇ'!$B$6:$H$862,7,0))</f>
        <v>45</v>
      </c>
      <c r="H106" s="121"/>
    </row>
    <row r="107" spans="1:8" ht="14.25" customHeight="1">
      <c r="A107" s="122"/>
      <c r="B107" s="123"/>
      <c r="C107" s="124">
        <f>IF(A108="","",INDEX('TAKIM KAYIT'!$C$6:$C$245,MATCH(C108,'TAKIM KAYIT'!$C$6:$C$245,0)-1))</f>
        <v>49</v>
      </c>
      <c r="D107" s="125" t="str">
        <f>IF(ISERROR(VLOOKUP($C107,'START LİSTE'!$B$6:$F$1027,2,0)),"",VLOOKUP($C107,'START LİSTE'!$B$6:$F$1027,2,0))</f>
        <v>YUSUF TALHA YALÇINKAYA</v>
      </c>
      <c r="E107" s="126" t="str">
        <f>IF(ISERROR(VLOOKUP($C107,'START LİSTE'!$B$6:$F$1027,4,0)),"",VLOOKUP($C107,'START LİSTE'!$B$6:$F$1027,4,0))</f>
        <v>T</v>
      </c>
      <c r="F107" s="127" t="str">
        <f>IF(ISERROR(VLOOKUP($C107,'FERDİ SONUÇ'!$B$6:$H$862,6,0)),"",VLOOKUP($C107,'FERDİ SONUÇ'!$B$6:$H$862,6,0))</f>
        <v>-</v>
      </c>
      <c r="G107" s="131">
        <f>IF(OR(E107="",F107="DQ",F107="DNF",F107="DNS",F107=""),"-",VLOOKUP(C107,'FERDİ SONUÇ'!$B$6:$H$862,7,0))</f>
        <v>62</v>
      </c>
      <c r="H107" s="129"/>
    </row>
    <row r="108" spans="1:8" ht="14.25" customHeight="1">
      <c r="A108" s="43">
        <f>IF(ISERROR(SMALL('TAKIM KAYIT'!$A$6:$A$245,26)),"",SMALL('TAKIM KAYIT'!$A$6:$A$245,26))</f>
        <v>1080</v>
      </c>
      <c r="B108" s="123" t="str">
        <f>IF(A108="","",VLOOKUP(A108,'TAKIM KAYIT'!$A$6:$J$245,2,FALSE))</f>
        <v>ESKİŞEHİR</v>
      </c>
      <c r="C108" s="124">
        <f>IF(A108="","",VLOOKUP(A108,'TAKIM KAYIT'!$A$6:$J$245,3,FALSE))</f>
        <v>50</v>
      </c>
      <c r="D108" s="125" t="str">
        <f>IF(ISERROR(VLOOKUP($C108,'START LİSTE'!$B$6:$F$1027,2,0)),"",VLOOKUP($C108,'START LİSTE'!$B$6:$F$1027,2,0))</f>
        <v>İLHAN ACAR</v>
      </c>
      <c r="E108" s="126" t="str">
        <f>IF(ISERROR(VLOOKUP($C108,'START LİSTE'!$B$6:$F$1027,4,0)),"",VLOOKUP($C108,'START LİSTE'!$B$6:$F$1027,4,0))</f>
        <v>T</v>
      </c>
      <c r="F108" s="127" t="str">
        <f>IF(ISERROR(VLOOKUP($C108,'FERDİ SONUÇ'!$B$6:$H$862,6,0)),"",VLOOKUP($C108,'FERDİ SONUÇ'!$B$6:$H$862,6,0))</f>
        <v>DNF</v>
      </c>
      <c r="G108" s="131" t="str">
        <f>IF(OR(E108="",F108="DQ",F108="DNF",F108="DNS",F108=""),"-",VLOOKUP(C108,'FERDİ SONUÇ'!$B$6:$H$862,7,0))</f>
        <v>-</v>
      </c>
      <c r="H108" s="129" t="str">
        <f>IF(A108="","",VLOOKUP(A108,'TAKIM KAYIT'!$A$6:$K$245,10,FALSE))</f>
        <v>DQ</v>
      </c>
    </row>
    <row r="109" spans="1:8" ht="14.25" customHeight="1">
      <c r="A109" s="122"/>
      <c r="B109" s="123"/>
      <c r="C109" s="124">
        <f>IF(A108="","",INDEX('TAKIM KAYIT'!$C$6:$C$245,MATCH(C108,'TAKIM KAYIT'!$C$6:$C$245,0)+1))</f>
        <v>51</v>
      </c>
      <c r="D109" s="125" t="str">
        <f>IF(ISERROR(VLOOKUP($C109,'START LİSTE'!$B$6:$F$1027,2,0)),"",VLOOKUP($C109,'START LİSTE'!$B$6:$F$1027,2,0))</f>
        <v>MESUT ÖZKAYA</v>
      </c>
      <c r="E109" s="126" t="str">
        <f>IF(ISERROR(VLOOKUP($C109,'START LİSTE'!$B$6:$F$1027,4,0)),"",VLOOKUP($C109,'START LİSTE'!$B$6:$F$1027,4,0))</f>
        <v>T</v>
      </c>
      <c r="F109" s="127" t="str">
        <f>IF(ISERROR(VLOOKUP($C109,'FERDİ SONUÇ'!$B$6:$H$862,6,0)),"",VLOOKUP($C109,'FERDİ SONUÇ'!$B$6:$H$862,6,0))</f>
        <v>DNF</v>
      </c>
      <c r="G109" s="131" t="str">
        <f>IF(OR(E109="",F109="DQ",F109="DNF",F109="DNS",F109=""),"-",VLOOKUP(C109,'FERDİ SONUÇ'!$B$6:$H$862,7,0))</f>
        <v>-</v>
      </c>
      <c r="H109" s="129"/>
    </row>
    <row r="110" spans="1:8" ht="14.25" customHeight="1">
      <c r="A110" s="114"/>
      <c r="B110" s="115"/>
      <c r="C110" s="116">
        <f>IF(A112="","",INDEX('TAKIM KAYIT'!$C$6:$C$245,MATCH(C112,'TAKIM KAYIT'!$C$6:$C$245,0)-2))</f>
        <v>52</v>
      </c>
      <c r="D110" s="117" t="str">
        <f>IF(ISERROR(VLOOKUP($C110,'START LİSTE'!$B$6:$F$1027,2,0)),"",VLOOKUP($C110,'START LİSTE'!$B$6:$F$1027,2,0))</f>
        <v>AHMET KELEK</v>
      </c>
      <c r="E110" s="118" t="str">
        <f>IF(ISERROR(VLOOKUP($C110,'START LİSTE'!$B$6:$F$1027,4,0)),"",VLOOKUP($C110,'START LİSTE'!$B$6:$F$1027,4,0))</f>
        <v>T</v>
      </c>
      <c r="F110" s="119" t="str">
        <f>IF(ISERROR(VLOOKUP($C110,'FERDİ SONUÇ'!$B$6:$H$862,6,0)),"",VLOOKUP($C110,'FERDİ SONUÇ'!$B$6:$H$862,6,0))</f>
        <v>DNF</v>
      </c>
      <c r="G110" s="130" t="str">
        <f>IF(OR(E110="",F110="DQ",F110="DNF",F110="DNS",F110=""),"-",VLOOKUP(C110,'FERDİ SONUÇ'!$B$6:$H$862,7,0))</f>
        <v>-</v>
      </c>
      <c r="H110" s="121"/>
    </row>
    <row r="111" spans="1:8" ht="14.25" customHeight="1">
      <c r="A111" s="122"/>
      <c r="B111" s="123"/>
      <c r="C111" s="124">
        <f>IF(A112="","",INDEX('TAKIM KAYIT'!$C$6:$C$245,MATCH(C112,'TAKIM KAYIT'!$C$6:$C$245,0)-1))</f>
        <v>53</v>
      </c>
      <c r="D111" s="125" t="str">
        <f>IF(ISERROR(VLOOKUP($C111,'START LİSTE'!$B$6:$F$1027,2,0)),"",VLOOKUP($C111,'START LİSTE'!$B$6:$F$1027,2,0))</f>
        <v>YAŞAR EMRE KOŞDAŞ</v>
      </c>
      <c r="E111" s="126" t="str">
        <f>IF(ISERROR(VLOOKUP($C111,'START LİSTE'!$B$6:$F$1027,4,0)),"",VLOOKUP($C111,'START LİSTE'!$B$6:$F$1027,4,0))</f>
        <v>T</v>
      </c>
      <c r="F111" s="127" t="str">
        <f>IF(ISERROR(VLOOKUP($C111,'FERDİ SONUÇ'!$B$6:$H$862,6,0)),"",VLOOKUP($C111,'FERDİ SONUÇ'!$B$6:$H$862,6,0))</f>
        <v>-</v>
      </c>
      <c r="G111" s="131">
        <f>IF(OR(E111="",F111="DQ",F111="DNF",F111="DNS",F111=""),"-",VLOOKUP(C111,'FERDİ SONUÇ'!$B$6:$H$862,7,0))</f>
        <v>40</v>
      </c>
      <c r="H111" s="129"/>
    </row>
    <row r="112" spans="1:8" ht="14.25" customHeight="1">
      <c r="A112" s="43">
        <f>IF(ISERROR(SMALL('TAKIM KAYIT'!$A$6:$A$245,27)),"",SMALL('TAKIM KAYIT'!$A$6:$A$245,27))</f>
        <v>1086</v>
      </c>
      <c r="B112" s="123" t="str">
        <f>IF(A112="","",VLOOKUP(A112,'TAKIM KAYIT'!$A$6:$J$245,2,FALSE))</f>
        <v>ESKİŞEHİR İL KARMASI</v>
      </c>
      <c r="C112" s="124">
        <f>IF(A112="","",VLOOKUP(A112,'TAKIM KAYIT'!$A$6:$J$245,3,FALSE))</f>
        <v>54</v>
      </c>
      <c r="D112" s="125" t="str">
        <f>IF(ISERROR(VLOOKUP($C112,'START LİSTE'!$B$6:$F$1027,2,0)),"",VLOOKUP($C112,'START LİSTE'!$B$6:$F$1027,2,0))</f>
        <v>UMUR ÇAKLI</v>
      </c>
      <c r="E112" s="126" t="str">
        <f>IF(ISERROR(VLOOKUP($C112,'START LİSTE'!$B$6:$F$1027,4,0)),"",VLOOKUP($C112,'START LİSTE'!$B$6:$F$1027,4,0))</f>
        <v>T</v>
      </c>
      <c r="F112" s="127" t="str">
        <f>IF(ISERROR(VLOOKUP($C112,'FERDİ SONUÇ'!$B$6:$H$862,6,0)),"",VLOOKUP($C112,'FERDİ SONUÇ'!$B$6:$H$862,6,0))</f>
        <v>DNF</v>
      </c>
      <c r="G112" s="131" t="str">
        <f>IF(OR(E112="",F112="DQ",F112="DNF",F112="DNS",F112=""),"-",VLOOKUP(C112,'FERDİ SONUÇ'!$B$6:$H$862,7,0))</f>
        <v>-</v>
      </c>
      <c r="H112" s="129" t="str">
        <f>IF(A112="","",VLOOKUP(A112,'TAKIM KAYIT'!$A$6:$K$245,10,FALSE))</f>
        <v>DQ</v>
      </c>
    </row>
    <row r="113" spans="1:8" ht="14.25" customHeight="1">
      <c r="A113" s="122"/>
      <c r="B113" s="123"/>
      <c r="C113" s="124">
        <f>IF(A112="","",INDEX('TAKIM KAYIT'!$C$6:$C$245,MATCH(C112,'TAKIM KAYIT'!$C$6:$C$245,0)+1))</f>
        <v>55</v>
      </c>
      <c r="D113" s="125" t="str">
        <f>IF(ISERROR(VLOOKUP($C113,'START LİSTE'!$B$6:$F$1027,2,0)),"",VLOOKUP($C113,'START LİSTE'!$B$6:$F$1027,2,0))</f>
        <v>EGE GÜMÜŞ</v>
      </c>
      <c r="E113" s="126" t="str">
        <f>IF(ISERROR(VLOOKUP($C113,'START LİSTE'!$B$6:$F$1027,4,0)),"",VLOOKUP($C113,'START LİSTE'!$B$6:$F$1027,4,0))</f>
        <v>T</v>
      </c>
      <c r="F113" s="127" t="str">
        <f>IF(ISERROR(VLOOKUP($C113,'FERDİ SONUÇ'!$B$6:$H$862,6,0)),"",VLOOKUP($C113,'FERDİ SONUÇ'!$B$6:$H$862,6,0))</f>
        <v>DNF</v>
      </c>
      <c r="G113" s="131" t="str">
        <f>IF(OR(E113="",F113="DQ",F113="DNF",F113="DNS",F113=""),"-",VLOOKUP(C113,'FERDİ SONUÇ'!$B$6:$H$862,7,0))</f>
        <v>-</v>
      </c>
      <c r="H113" s="129"/>
    </row>
    <row r="114" spans="1:8" ht="14.25" customHeight="1">
      <c r="A114" s="114"/>
      <c r="B114" s="115"/>
      <c r="C114" s="116">
        <f>IF(A116="","",INDEX('TAKIM KAYIT'!$C$6:$C$245,MATCH(C116,'TAKIM KAYIT'!$C$6:$C$245,0)-2))</f>
        <v>86</v>
      </c>
      <c r="D114" s="117" t="str">
        <f>IF(ISERROR(VLOOKUP($C114,'START LİSTE'!$B$6:$F$1027,2,0)),"",VLOOKUP($C114,'START LİSTE'!$B$6:$F$1027,2,0))</f>
        <v>SAMET SIRAKAYA</v>
      </c>
      <c r="E114" s="118" t="str">
        <f>IF(ISERROR(VLOOKUP($C114,'START LİSTE'!$B$6:$F$1027,4,0)),"",VLOOKUP($C114,'START LİSTE'!$B$6:$F$1027,4,0))</f>
        <v>T</v>
      </c>
      <c r="F114" s="119" t="str">
        <f>IF(ISERROR(VLOOKUP($C114,'FERDİ SONUÇ'!$B$6:$H$862,6,0)),"",VLOOKUP($C114,'FERDİ SONUÇ'!$B$6:$H$862,6,0))</f>
        <v>DNF</v>
      </c>
      <c r="G114" s="130" t="str">
        <f>IF(OR(E114="",F114="DQ",F114="DNF",F114="DNS",F114=""),"-",VLOOKUP(C114,'FERDİ SONUÇ'!$B$6:$H$862,7,0))</f>
        <v>-</v>
      </c>
      <c r="H114" s="121"/>
    </row>
    <row r="115" spans="1:8" ht="14.25" customHeight="1">
      <c r="A115" s="122"/>
      <c r="B115" s="123"/>
      <c r="C115" s="124">
        <f>IF(A116="","",INDEX('TAKIM KAYIT'!$C$6:$C$245,MATCH(C116,'TAKIM KAYIT'!$C$6:$C$245,0)-1))</f>
        <v>87</v>
      </c>
      <c r="D115" s="125" t="str">
        <f>IF(ISERROR(VLOOKUP($C115,'START LİSTE'!$B$6:$F$1027,2,0)),"",VLOOKUP($C115,'START LİSTE'!$B$6:$F$1027,2,0))</f>
        <v>EMİRCAN ŞENGÜL</v>
      </c>
      <c r="E115" s="126" t="str">
        <f>IF(ISERROR(VLOOKUP($C115,'START LİSTE'!$B$6:$F$1027,4,0)),"",VLOOKUP($C115,'START LİSTE'!$B$6:$F$1027,4,0))</f>
        <v>T</v>
      </c>
      <c r="F115" s="127" t="str">
        <f>IF(ISERROR(VLOOKUP($C115,'FERDİ SONUÇ'!$B$6:$H$862,6,0)),"",VLOOKUP($C115,'FERDİ SONUÇ'!$B$6:$H$862,6,0))</f>
        <v>-</v>
      </c>
      <c r="G115" s="131">
        <f>IF(OR(E115="",F115="DQ",F115="DNF",F115="DNS",F115=""),"-",VLOOKUP(C115,'FERDİ SONUÇ'!$B$6:$H$862,7,0))</f>
        <v>47</v>
      </c>
      <c r="H115" s="129"/>
    </row>
    <row r="116" spans="1:8" ht="14.25" customHeight="1">
      <c r="A116" s="43">
        <f>IF(ISERROR(SMALL('TAKIM KAYIT'!$A$6:$A$245,28)),"",SMALL('TAKIM KAYIT'!$A$6:$A$245,28))</f>
        <v>1140</v>
      </c>
      <c r="B116" s="123" t="str">
        <f>IF(A116="","",VLOOKUP(A116,'TAKIM KAYIT'!$A$6:$J$245,2,FALSE))</f>
        <v>NEVŞEHİR </v>
      </c>
      <c r="C116" s="124">
        <f>IF(A116="","",VLOOKUP(A116,'TAKIM KAYIT'!$A$6:$J$245,3,FALSE))</f>
        <v>88</v>
      </c>
      <c r="D116" s="125" t="str">
        <f>IF(ISERROR(VLOOKUP($C116,'START LİSTE'!$B$6:$F$1027,2,0)),"",VLOOKUP($C116,'START LİSTE'!$B$6:$F$1027,2,0))</f>
        <v>ÜNAL YILMAZ </v>
      </c>
      <c r="E116" s="126" t="str">
        <f>IF(ISERROR(VLOOKUP($C116,'START LİSTE'!$B$6:$F$1027,4,0)),"",VLOOKUP($C116,'START LİSTE'!$B$6:$F$1027,4,0))</f>
        <v>T</v>
      </c>
      <c r="F116" s="127" t="str">
        <f>IF(ISERROR(VLOOKUP($C116,'FERDİ SONUÇ'!$B$6:$H$862,6,0)),"",VLOOKUP($C116,'FERDİ SONUÇ'!$B$6:$H$862,6,0))</f>
        <v>DNS</v>
      </c>
      <c r="G116" s="131" t="str">
        <f>IF(OR(E116="",F116="DQ",F116="DNF",F116="DNS",F116=""),"-",VLOOKUP(C116,'FERDİ SONUÇ'!$B$6:$H$862,7,0))</f>
        <v>-</v>
      </c>
      <c r="H116" s="129" t="str">
        <f>IF(A116="","",VLOOKUP(A116,'TAKIM KAYIT'!$A$6:$K$245,10,FALSE))</f>
        <v>DQ</v>
      </c>
    </row>
    <row r="117" spans="1:8" ht="14.25" customHeight="1">
      <c r="A117" s="122"/>
      <c r="B117" s="123"/>
      <c r="C117" s="124">
        <f>IF(A116="","",INDEX('TAKIM KAYIT'!$C$6:$C$245,MATCH(C116,'TAKIM KAYIT'!$C$6:$C$245,0)+1))</f>
        <v>89</v>
      </c>
      <c r="D117" s="125" t="str">
        <f>IF(ISERROR(VLOOKUP($C117,'START LİSTE'!$B$6:$F$1027,2,0)),"",VLOOKUP($C117,'START LİSTE'!$B$6:$F$1027,2,0))</f>
        <v>SERHAT GEÇKİN </v>
      </c>
      <c r="E117" s="126" t="str">
        <f>IF(ISERROR(VLOOKUP($C117,'START LİSTE'!$B$6:$F$1027,4,0)),"",VLOOKUP($C117,'START LİSTE'!$B$6:$F$1027,4,0))</f>
        <v>T</v>
      </c>
      <c r="F117" s="127" t="str">
        <f>IF(ISERROR(VLOOKUP($C117,'FERDİ SONUÇ'!$B$6:$H$862,6,0)),"",VLOOKUP($C117,'FERDİ SONUÇ'!$B$6:$H$862,6,0))</f>
        <v>-</v>
      </c>
      <c r="G117" s="131">
        <f>IF(OR(E117="",F117="DQ",F117="DNF",F117="DNS",F117=""),"-",VLOOKUP(C117,'FERDİ SONUÇ'!$B$6:$H$862,7,0))</f>
        <v>21</v>
      </c>
      <c r="H117" s="129"/>
    </row>
    <row r="118" spans="1:8" ht="14.25" customHeight="1">
      <c r="A118" s="114"/>
      <c r="B118" s="115"/>
      <c r="C118" s="116">
        <f>IF(A120="","",INDEX('TAKIM KAYIT'!$C$6:$C$245,MATCH(C120,'TAKIM KAYIT'!$C$6:$C$245,0)-2))</f>
      </c>
      <c r="D118" s="117">
        <f>IF(ISERROR(VLOOKUP($C118,'START LİSTE'!$B$6:$F$1027,2,0)),"",VLOOKUP($C118,'START LİSTE'!$B$6:$F$1027,2,0))</f>
      </c>
      <c r="E118" s="118">
        <f>IF(ISERROR(VLOOKUP($C118,'START LİSTE'!$B$6:$F$1027,4,0)),"",VLOOKUP($C118,'START LİSTE'!$B$6:$F$1027,4,0))</f>
      </c>
      <c r="F118" s="119">
        <f>IF(ISERROR(VLOOKUP($C118,'FERDİ SONUÇ'!$B$6:$H$862,6,0)),"",VLOOKUP($C118,'FERDİ SONUÇ'!$B$6:$H$862,6,0))</f>
      </c>
      <c r="G118" s="130" t="str">
        <f>IF(OR(E118="",F118="DQ",F118="DNF",F118="DNS",F118=""),"-",VLOOKUP(C118,'FERDİ SONUÇ'!$B$6:$H$862,7,0))</f>
        <v>-</v>
      </c>
      <c r="H118" s="121"/>
    </row>
    <row r="119" spans="1:8" ht="14.25" customHeight="1">
      <c r="A119" s="122"/>
      <c r="B119" s="123"/>
      <c r="C119" s="124">
        <f>IF(A120="","",INDEX('TAKIM KAYIT'!$C$6:$C$245,MATCH(C120,'TAKIM KAYIT'!$C$6:$C$245,0)-1))</f>
      </c>
      <c r="D119" s="125">
        <f>IF(ISERROR(VLOOKUP($C119,'START LİSTE'!$B$6:$F$1027,2,0)),"",VLOOKUP($C119,'START LİSTE'!$B$6:$F$1027,2,0))</f>
      </c>
      <c r="E119" s="126">
        <f>IF(ISERROR(VLOOKUP($C119,'START LİSTE'!$B$6:$F$1027,4,0)),"",VLOOKUP($C119,'START LİSTE'!$B$6:$F$1027,4,0))</f>
      </c>
      <c r="F119" s="127">
        <f>IF(ISERROR(VLOOKUP($C119,'FERDİ SONUÇ'!$B$6:$H$862,6,0)),"",VLOOKUP($C119,'FERDİ SONUÇ'!$B$6:$H$862,6,0))</f>
      </c>
      <c r="G119" s="131" t="str">
        <f>IF(OR(E119="",F119="DQ",F119="DNF",F119="DNS",F119=""),"-",VLOOKUP(C119,'FERDİ SONUÇ'!$B$6:$H$862,7,0))</f>
        <v>-</v>
      </c>
      <c r="H119" s="129"/>
    </row>
    <row r="120" spans="1:8" ht="14.25" customHeight="1">
      <c r="A120" s="43">
        <f>IF(ISERROR(SMALL('TAKIM KAYIT'!$A$6:$A$245,29)),"",SMALL('TAKIM KAYIT'!$A$6:$A$245,29))</f>
      </c>
      <c r="B120" s="123">
        <f>IF(A120="","",VLOOKUP(A120,'TAKIM KAYIT'!$A$6:$J$245,2,FALSE))</f>
      </c>
      <c r="C120" s="124">
        <f>IF(A120="","",VLOOKUP(A120,'TAKIM KAYIT'!$A$6:$J$245,3,FALSE))</f>
      </c>
      <c r="D120" s="125">
        <f>IF(ISERROR(VLOOKUP($C120,'START LİSTE'!$B$6:$F$1027,2,0)),"",VLOOKUP($C120,'START LİSTE'!$B$6:$F$1027,2,0))</f>
      </c>
      <c r="E120" s="126">
        <f>IF(ISERROR(VLOOKUP($C120,'START LİSTE'!$B$6:$F$1027,4,0)),"",VLOOKUP($C120,'START LİSTE'!$B$6:$F$1027,4,0))</f>
      </c>
      <c r="F120" s="127">
        <f>IF(ISERROR(VLOOKUP($C120,'FERDİ SONUÇ'!$B$6:$H$862,6,0)),"",VLOOKUP($C120,'FERDİ SONUÇ'!$B$6:$H$862,6,0))</f>
      </c>
      <c r="G120" s="131" t="str">
        <f>IF(OR(E120="",F120="DQ",F120="DNF",F120="DNS",F120=""),"-",VLOOKUP(C120,'FERDİ SONUÇ'!$B$6:$H$862,7,0))</f>
        <v>-</v>
      </c>
      <c r="H120" s="129">
        <f>IF(A120="","",VLOOKUP(A120,'TAKIM KAYIT'!$A$6:$K$245,10,FALSE))</f>
      </c>
    </row>
    <row r="121" spans="1:8" ht="14.25" customHeight="1">
      <c r="A121" s="122"/>
      <c r="B121" s="123"/>
      <c r="C121" s="124">
        <f>IF(A120="","",INDEX('TAKIM KAYIT'!$C$6:$C$245,MATCH(C120,'TAKIM KAYIT'!$C$6:$C$245,0)+1))</f>
      </c>
      <c r="D121" s="125">
        <f>IF(ISERROR(VLOOKUP($C121,'START LİSTE'!$B$6:$F$1027,2,0)),"",VLOOKUP($C121,'START LİSTE'!$B$6:$F$1027,2,0))</f>
      </c>
      <c r="E121" s="126">
        <f>IF(ISERROR(VLOOKUP($C121,'START LİSTE'!$B$6:$F$1027,4,0)),"",VLOOKUP($C121,'START LİSTE'!$B$6:$F$1027,4,0))</f>
      </c>
      <c r="F121" s="127">
        <f>IF(ISERROR(VLOOKUP($C121,'FERDİ SONUÇ'!$B$6:$H$862,6,0)),"",VLOOKUP($C121,'FERDİ SONUÇ'!$B$6:$H$862,6,0))</f>
      </c>
      <c r="G121" s="131" t="str">
        <f>IF(OR(E121="",F121="DQ",F121="DNF",F121="DNS",F121=""),"-",VLOOKUP(C121,'FERDİ SONUÇ'!$B$6:$H$862,7,0))</f>
        <v>-</v>
      </c>
      <c r="H121" s="129"/>
    </row>
    <row r="122" spans="1:8" ht="14.25" customHeight="1">
      <c r="A122" s="114"/>
      <c r="B122" s="115"/>
      <c r="C122" s="116">
        <f>IF(A124="","",INDEX('TAKIM KAYIT'!$C$6:$C$245,MATCH(C124,'TAKIM KAYIT'!$C$6:$C$245,0)-2))</f>
      </c>
      <c r="D122" s="117">
        <f>IF(ISERROR(VLOOKUP($C122,'START LİSTE'!$B$6:$F$1027,2,0)),"",VLOOKUP($C122,'START LİSTE'!$B$6:$F$1027,2,0))</f>
      </c>
      <c r="E122" s="118">
        <f>IF(ISERROR(VLOOKUP($C122,'START LİSTE'!$B$6:$F$1027,4,0)),"",VLOOKUP($C122,'START LİSTE'!$B$6:$F$1027,4,0))</f>
      </c>
      <c r="F122" s="119">
        <f>IF(ISERROR(VLOOKUP($C122,'FERDİ SONUÇ'!$B$6:$H$862,6,0)),"",VLOOKUP($C122,'FERDİ SONUÇ'!$B$6:$H$862,6,0))</f>
      </c>
      <c r="G122" s="130" t="str">
        <f>IF(OR(E122="",F122="DQ",F122="DNF",F122="DNS",F122=""),"-",VLOOKUP(C122,'FERDİ SONUÇ'!$B$6:$H$862,7,0))</f>
        <v>-</v>
      </c>
      <c r="H122" s="121"/>
    </row>
    <row r="123" spans="1:8" ht="14.25" customHeight="1">
      <c r="A123" s="122"/>
      <c r="B123" s="123"/>
      <c r="C123" s="124">
        <f>IF(A124="","",INDEX('TAKIM KAYIT'!$C$6:$C$245,MATCH(C124,'TAKIM KAYIT'!$C$6:$C$245,0)-1))</f>
      </c>
      <c r="D123" s="125">
        <f>IF(ISERROR(VLOOKUP($C123,'START LİSTE'!$B$6:$F$1027,2,0)),"",VLOOKUP($C123,'START LİSTE'!$B$6:$F$1027,2,0))</f>
      </c>
      <c r="E123" s="126">
        <f>IF(ISERROR(VLOOKUP($C123,'START LİSTE'!$B$6:$F$1027,4,0)),"",VLOOKUP($C123,'START LİSTE'!$B$6:$F$1027,4,0))</f>
      </c>
      <c r="F123" s="127">
        <f>IF(ISERROR(VLOOKUP($C123,'FERDİ SONUÇ'!$B$6:$H$862,6,0)),"",VLOOKUP($C123,'FERDİ SONUÇ'!$B$6:$H$862,6,0))</f>
      </c>
      <c r="G123" s="131" t="str">
        <f>IF(OR(E123="",F123="DQ",F123="DNF",F123="DNS",F123=""),"-",VLOOKUP(C123,'FERDİ SONUÇ'!$B$6:$H$862,7,0))</f>
        <v>-</v>
      </c>
      <c r="H123" s="129"/>
    </row>
    <row r="124" spans="1:8" ht="14.25" customHeight="1">
      <c r="A124" s="43">
        <f>IF(ISERROR(SMALL('TAKIM KAYIT'!$A$6:$A$245,30)),"",SMALL('TAKIM KAYIT'!$A$6:$A$245,30))</f>
      </c>
      <c r="B124" s="123">
        <f>IF(A124="","",VLOOKUP(A124,'TAKIM KAYIT'!$A$6:$J$245,2,FALSE))</f>
      </c>
      <c r="C124" s="124">
        <f>IF(A124="","",VLOOKUP(A124,'TAKIM KAYIT'!$A$6:$J$245,3,FALSE))</f>
      </c>
      <c r="D124" s="125">
        <f>IF(ISERROR(VLOOKUP($C124,'START LİSTE'!$B$6:$F$1027,2,0)),"",VLOOKUP($C124,'START LİSTE'!$B$6:$F$1027,2,0))</f>
      </c>
      <c r="E124" s="126">
        <f>IF(ISERROR(VLOOKUP($C124,'START LİSTE'!$B$6:$F$1027,4,0)),"",VLOOKUP($C124,'START LİSTE'!$B$6:$F$1027,4,0))</f>
      </c>
      <c r="F124" s="127">
        <f>IF(ISERROR(VLOOKUP($C124,'FERDİ SONUÇ'!$B$6:$H$862,6,0)),"",VLOOKUP($C124,'FERDİ SONUÇ'!$B$6:$H$862,6,0))</f>
      </c>
      <c r="G124" s="131" t="str">
        <f>IF(OR(E124="",F124="DQ",F124="DNF",F124="DNS",F124=""),"-",VLOOKUP(C124,'FERDİ SONUÇ'!$B$6:$H$862,7,0))</f>
        <v>-</v>
      </c>
      <c r="H124" s="129">
        <f>IF(A124="","",VLOOKUP(A124,'TAKIM KAYIT'!$A$6:$K$245,10,FALSE))</f>
      </c>
    </row>
    <row r="125" spans="1:8" ht="14.25" customHeight="1">
      <c r="A125" s="122"/>
      <c r="B125" s="123"/>
      <c r="C125" s="124">
        <f>IF(A124="","",INDEX('TAKIM KAYIT'!$C$6:$C$245,MATCH(C124,'TAKIM KAYIT'!$C$6:$C$245,0)+1))</f>
      </c>
      <c r="D125" s="125">
        <f>IF(ISERROR(VLOOKUP($C125,'START LİSTE'!$B$6:$F$1027,2,0)),"",VLOOKUP($C125,'START LİSTE'!$B$6:$F$1027,2,0))</f>
      </c>
      <c r="E125" s="126">
        <f>IF(ISERROR(VLOOKUP($C125,'START LİSTE'!$B$6:$F$1027,4,0)),"",VLOOKUP($C125,'START LİSTE'!$B$6:$F$1027,4,0))</f>
      </c>
      <c r="F125" s="127">
        <f>IF(ISERROR(VLOOKUP($C125,'FERDİ SONUÇ'!$B$6:$H$862,6,0)),"",VLOOKUP($C125,'FERDİ SONUÇ'!$B$6:$H$862,6,0))</f>
      </c>
      <c r="G125" s="131" t="str">
        <f>IF(OR(E125="",F125="DQ",F125="DNF",F125="DNS",F125=""),"-",VLOOKUP(C125,'FERDİ SONUÇ'!$B$6:$H$862,7,0))</f>
        <v>-</v>
      </c>
      <c r="H125" s="129"/>
    </row>
    <row r="126" spans="1:8" s="1" customFormat="1" ht="14.25" customHeight="1">
      <c r="A126" s="114"/>
      <c r="B126" s="115"/>
      <c r="C126" s="116">
        <f>IF(A128="","",INDEX('TAKIM KAYIT'!$C$6:$C$245,MATCH(C128,'TAKIM KAYIT'!$C$6:$C$245,0)-2))</f>
      </c>
      <c r="D126" s="117">
        <f>IF(ISERROR(VLOOKUP($C126,'START LİSTE'!$B$6:$F$1027,2,0)),"",VLOOKUP($C126,'START LİSTE'!$B$6:$F$1027,2,0))</f>
      </c>
      <c r="E126" s="118">
        <f>IF(ISERROR(VLOOKUP($C126,'START LİSTE'!$B$6:$F$1027,4,0)),"",VLOOKUP($C126,'START LİSTE'!$B$6:$F$1027,4,0))</f>
      </c>
      <c r="F126" s="119">
        <f>IF(ISERROR(VLOOKUP($C126,'FERDİ SONUÇ'!$B$6:$H$862,6,0)),"",VLOOKUP($C126,'FERDİ SONUÇ'!$B$6:$H$862,6,0))</f>
      </c>
      <c r="G126" s="120" t="str">
        <f>IF(OR(E126="",F126="DQ",F126="DNF",F126="DNS",F126=""),"-",VLOOKUP(C126,'FERDİ SONUÇ'!$B$6:$H$862,7,0))</f>
        <v>-</v>
      </c>
      <c r="H126" s="121"/>
    </row>
    <row r="127" spans="1:8" s="1" customFormat="1" ht="14.25" customHeight="1">
      <c r="A127" s="122"/>
      <c r="B127" s="123"/>
      <c r="C127" s="124">
        <f>IF(A128="","",INDEX('TAKIM KAYIT'!$C$6:$C$245,MATCH(C128,'TAKIM KAYIT'!$C$6:$C$245,0)-1))</f>
      </c>
      <c r="D127" s="125">
        <f>IF(ISERROR(VLOOKUP($C127,'START LİSTE'!$B$6:$F$1027,2,0)),"",VLOOKUP($C127,'START LİSTE'!$B$6:$F$1027,2,0))</f>
      </c>
      <c r="E127" s="126">
        <f>IF(ISERROR(VLOOKUP($C127,'START LİSTE'!$B$6:$F$1027,4,0)),"",VLOOKUP($C127,'START LİSTE'!$B$6:$F$1027,4,0))</f>
      </c>
      <c r="F127" s="127">
        <f>IF(ISERROR(VLOOKUP($C127,'FERDİ SONUÇ'!$B$6:$H$862,6,0)),"",VLOOKUP($C127,'FERDİ SONUÇ'!$B$6:$H$862,6,0))</f>
      </c>
      <c r="G127" s="128" t="str">
        <f>IF(OR(E127="",F127="DQ",F127="DNF",F127="DNS",F127=""),"-",VLOOKUP(C127,'FERDİ SONUÇ'!$B$6:$H$862,7,0))</f>
        <v>-</v>
      </c>
      <c r="H127" s="129"/>
    </row>
    <row r="128" spans="1:8" s="1" customFormat="1" ht="14.25" customHeight="1">
      <c r="A128" s="122">
        <f>IF(ISERROR(SMALL('TAKIM KAYIT'!$A$6:$A$245,31)),"",SMALL('TAKIM KAYIT'!$A$6:$A$245,31))</f>
      </c>
      <c r="B128" s="123">
        <f>IF(A128="","",VLOOKUP(A128,'TAKIM KAYIT'!$A$6:$J$245,2,FALSE))</f>
      </c>
      <c r="C128" s="124">
        <f>IF(A128="","",VLOOKUP(A128,'TAKIM KAYIT'!$A$6:$J$245,3,FALSE))</f>
      </c>
      <c r="D128" s="125">
        <f>IF(ISERROR(VLOOKUP($C128,'START LİSTE'!$B$6:$F$1027,2,0)),"",VLOOKUP($C128,'START LİSTE'!$B$6:$F$1027,2,0))</f>
      </c>
      <c r="E128" s="126">
        <f>IF(ISERROR(VLOOKUP($C128,'START LİSTE'!$B$6:$F$1027,4,0)),"",VLOOKUP($C128,'START LİSTE'!$B$6:$F$1027,4,0))</f>
      </c>
      <c r="F128" s="127">
        <f>IF(ISERROR(VLOOKUP($C128,'FERDİ SONUÇ'!$B$6:$H$862,6,0)),"",VLOOKUP($C128,'FERDİ SONUÇ'!$B$6:$H$862,6,0))</f>
      </c>
      <c r="G128" s="128" t="str">
        <f>IF(OR(E128="",F128="DQ",F128="DNF",F128="DNS",F128=""),"-",VLOOKUP(C128,'FERDİ SONUÇ'!$B$6:$H$862,7,0))</f>
        <v>-</v>
      </c>
      <c r="H128" s="129">
        <f>IF(A128="","",VLOOKUP(A128,'TAKIM KAYIT'!$A$6:$K$245,10,FALSE))</f>
      </c>
    </row>
    <row r="129" spans="1:8" s="1" customFormat="1" ht="14.25" customHeight="1">
      <c r="A129" s="122"/>
      <c r="B129" s="123"/>
      <c r="C129" s="124">
        <f>IF(A128="","",INDEX('TAKIM KAYIT'!$C$6:$C$245,MATCH(C128,'TAKIM KAYIT'!$C$6:$C$245,0)+1))</f>
      </c>
      <c r="D129" s="125">
        <f>IF(ISERROR(VLOOKUP($C129,'START LİSTE'!$B$6:$F$1027,2,0)),"",VLOOKUP($C129,'START LİSTE'!$B$6:$F$1027,2,0))</f>
      </c>
      <c r="E129" s="126">
        <f>IF(ISERROR(VLOOKUP($C129,'START LİSTE'!$B$6:$F$1027,4,0)),"",VLOOKUP($C129,'START LİSTE'!$B$6:$F$1027,4,0))</f>
      </c>
      <c r="F129" s="127">
        <f>IF(ISERROR(VLOOKUP($C129,'FERDİ SONUÇ'!$B$6:$H$862,6,0)),"",VLOOKUP($C129,'FERDİ SONUÇ'!$B$6:$H$862,6,0))</f>
      </c>
      <c r="G129" s="128" t="str">
        <f>IF(OR(E129="",F129="DQ",F129="DNF",F129="DNS",F129=""),"-",VLOOKUP(C129,'FERDİ SONUÇ'!$B$6:$H$862,7,0))</f>
        <v>-</v>
      </c>
      <c r="H129" s="129"/>
    </row>
    <row r="130" spans="1:8" ht="14.25" customHeight="1">
      <c r="A130" s="114"/>
      <c r="B130" s="115"/>
      <c r="C130" s="116">
        <f>IF(A132="","",INDEX('TAKIM KAYIT'!$C$6:$C$245,MATCH(C132,'TAKIM KAYIT'!$C$6:$C$245,0)-2))</f>
      </c>
      <c r="D130" s="117">
        <f>IF(ISERROR(VLOOKUP($C130,'START LİSTE'!$B$6:$F$1027,2,0)),"",VLOOKUP($C130,'START LİSTE'!$B$6:$F$1027,2,0))</f>
      </c>
      <c r="E130" s="118">
        <f>IF(ISERROR(VLOOKUP($C130,'START LİSTE'!$B$6:$F$1027,4,0)),"",VLOOKUP($C130,'START LİSTE'!$B$6:$F$1027,4,0))</f>
      </c>
      <c r="F130" s="119">
        <f>IF(ISERROR(VLOOKUP($C130,'FERDİ SONUÇ'!$B$6:$H$862,6,0)),"",VLOOKUP($C130,'FERDİ SONUÇ'!$B$6:$H$862,6,0))</f>
      </c>
      <c r="G130" s="120" t="str">
        <f>IF(OR(E130="",F130="DQ",F130="DNF",F130="DNS",F130=""),"-",VLOOKUP(C130,'FERDİ SONUÇ'!$B$6:$H$862,7,0))</f>
        <v>-</v>
      </c>
      <c r="H130" s="121"/>
    </row>
    <row r="131" spans="1:8" ht="14.25" customHeight="1">
      <c r="A131" s="122"/>
      <c r="B131" s="123"/>
      <c r="C131" s="124">
        <f>IF(A132="","",INDEX('TAKIM KAYIT'!$C$6:$C$245,MATCH(C132,'TAKIM KAYIT'!$C$6:$C$245,0)-1))</f>
      </c>
      <c r="D131" s="125">
        <f>IF(ISERROR(VLOOKUP($C131,'START LİSTE'!$B$6:$F$1027,2,0)),"",VLOOKUP($C131,'START LİSTE'!$B$6:$F$1027,2,0))</f>
      </c>
      <c r="E131" s="126">
        <f>IF(ISERROR(VLOOKUP($C131,'START LİSTE'!$B$6:$F$1027,4,0)),"",VLOOKUP($C131,'START LİSTE'!$B$6:$F$1027,4,0))</f>
      </c>
      <c r="F131" s="127">
        <f>IF(ISERROR(VLOOKUP($C131,'FERDİ SONUÇ'!$B$6:$H$862,6,0)),"",VLOOKUP($C131,'FERDİ SONUÇ'!$B$6:$H$862,6,0))</f>
      </c>
      <c r="G131" s="128" t="str">
        <f>IF(OR(E131="",F131="DQ",F131="DNF",F131="DNS",F131=""),"-",VLOOKUP(C131,'FERDİ SONUÇ'!$B$6:$H$862,7,0))</f>
        <v>-</v>
      </c>
      <c r="H131" s="129"/>
    </row>
    <row r="132" spans="1:8" ht="14.25" customHeight="1">
      <c r="A132" s="122">
        <f>IF(ISERROR(SMALL('TAKIM KAYIT'!$A$6:$A$245,32)),"",SMALL('TAKIM KAYIT'!$A$6:$A$245,32))</f>
      </c>
      <c r="B132" s="123">
        <f>IF(A132="","",VLOOKUP(A132,'TAKIM KAYIT'!$A$6:$J$245,2,FALSE))</f>
      </c>
      <c r="C132" s="124">
        <f>IF(A132="","",VLOOKUP(A132,'TAKIM KAYIT'!$A$6:$J$245,3,FALSE))</f>
      </c>
      <c r="D132" s="125">
        <f>IF(ISERROR(VLOOKUP($C132,'START LİSTE'!$B$6:$F$1027,2,0)),"",VLOOKUP($C132,'START LİSTE'!$B$6:$F$1027,2,0))</f>
      </c>
      <c r="E132" s="126">
        <f>IF(ISERROR(VLOOKUP($C132,'START LİSTE'!$B$6:$F$1027,4,0)),"",VLOOKUP($C132,'START LİSTE'!$B$6:$F$1027,4,0))</f>
      </c>
      <c r="F132" s="127">
        <f>IF(ISERROR(VLOOKUP($C132,'FERDİ SONUÇ'!$B$6:$H$862,6,0)),"",VLOOKUP($C132,'FERDİ SONUÇ'!$B$6:$H$862,6,0))</f>
      </c>
      <c r="G132" s="128" t="str">
        <f>IF(OR(E132="",F132="DQ",F132="DNF",F132="DNS",F132=""),"-",VLOOKUP(C132,'FERDİ SONUÇ'!$B$6:$H$862,7,0))</f>
        <v>-</v>
      </c>
      <c r="H132" s="129">
        <f>IF(A132="","",VLOOKUP(A132,'TAKIM KAYIT'!$A$6:$J$245,10,FALSE))</f>
      </c>
    </row>
    <row r="133" spans="1:8" ht="14.25" customHeight="1">
      <c r="A133" s="122"/>
      <c r="B133" s="123"/>
      <c r="C133" s="124">
        <f>IF(A132="","",INDEX('TAKIM KAYIT'!$C$6:$C$245,MATCH(C132,'TAKIM KAYIT'!$C$6:$C$245,0)+1))</f>
      </c>
      <c r="D133" s="125">
        <f>IF(ISERROR(VLOOKUP($C133,'START LİSTE'!$B$6:$F$1027,2,0)),"",VLOOKUP($C133,'START LİSTE'!$B$6:$F$1027,2,0))</f>
      </c>
      <c r="E133" s="126">
        <f>IF(ISERROR(VLOOKUP($C133,'START LİSTE'!$B$6:$F$1027,4,0)),"",VLOOKUP($C133,'START LİSTE'!$B$6:$F$1027,4,0))</f>
      </c>
      <c r="F133" s="127">
        <f>IF(ISERROR(VLOOKUP($C133,'FERDİ SONUÇ'!$B$6:$H$862,6,0)),"",VLOOKUP($C133,'FERDİ SONUÇ'!$B$6:$H$862,6,0))</f>
      </c>
      <c r="G133" s="128" t="str">
        <f>IF(OR(E133="",F133="DQ",F133="DNF",F133="DNS",F133=""),"-",VLOOKUP(C133,'FERDİ SONUÇ'!$B$6:$H$862,7,0))</f>
        <v>-</v>
      </c>
      <c r="H133" s="129"/>
    </row>
    <row r="134" spans="1:8" ht="14.25" customHeight="1">
      <c r="A134" s="114"/>
      <c r="B134" s="115"/>
      <c r="C134" s="116">
        <f>IF(A136="","",INDEX('TAKIM KAYIT'!$C$6:$C$245,MATCH(C136,'TAKIM KAYIT'!$C$6:$C$245,0)-2))</f>
      </c>
      <c r="D134" s="117">
        <f>IF(ISERROR(VLOOKUP($C134,'START LİSTE'!$B$6:$F$1027,2,0)),"",VLOOKUP($C134,'START LİSTE'!$B$6:$F$1027,2,0))</f>
      </c>
      <c r="E134" s="118">
        <f>IF(ISERROR(VLOOKUP($C134,'START LİSTE'!$B$6:$F$1027,4,0)),"",VLOOKUP($C134,'START LİSTE'!$B$6:$F$1027,4,0))</f>
      </c>
      <c r="F134" s="119">
        <f>IF(ISERROR(VLOOKUP($C134,'FERDİ SONUÇ'!$B$6:$H$862,6,0)),"",VLOOKUP($C134,'FERDİ SONUÇ'!$B$6:$H$862,6,0))</f>
      </c>
      <c r="G134" s="120" t="str">
        <f>IF(OR(E134="",F134="DQ",F134="DNF",F134="DNS",F134=""),"-",VLOOKUP(C134,'FERDİ SONUÇ'!$B$6:$H$862,7,0))</f>
        <v>-</v>
      </c>
      <c r="H134" s="121"/>
    </row>
    <row r="135" spans="1:8" ht="14.25" customHeight="1">
      <c r="A135" s="122"/>
      <c r="B135" s="123"/>
      <c r="C135" s="124">
        <f>IF(A136="","",INDEX('TAKIM KAYIT'!$C$6:$C$245,MATCH(C136,'TAKIM KAYIT'!$C$6:$C$245,0)-1))</f>
      </c>
      <c r="D135" s="125">
        <f>IF(ISERROR(VLOOKUP($C135,'START LİSTE'!$B$6:$F$1027,2,0)),"",VLOOKUP($C135,'START LİSTE'!$B$6:$F$1027,2,0))</f>
      </c>
      <c r="E135" s="126">
        <f>IF(ISERROR(VLOOKUP($C135,'START LİSTE'!$B$6:$F$1027,4,0)),"",VLOOKUP($C135,'START LİSTE'!$B$6:$F$1027,4,0))</f>
      </c>
      <c r="F135" s="127">
        <f>IF(ISERROR(VLOOKUP($C135,'FERDİ SONUÇ'!$B$6:$H$862,6,0)),"",VLOOKUP($C135,'FERDİ SONUÇ'!$B$6:$H$862,6,0))</f>
      </c>
      <c r="G135" s="128" t="str">
        <f>IF(OR(E135="",F135="DQ",F135="DNF",F135="DNS",F135=""),"-",VLOOKUP(C135,'FERDİ SONUÇ'!$B$6:$H$862,7,0))</f>
        <v>-</v>
      </c>
      <c r="H135" s="129"/>
    </row>
    <row r="136" spans="1:8" ht="14.25" customHeight="1">
      <c r="A136" s="122">
        <f>IF(ISERROR(SMALL('TAKIM KAYIT'!$A$6:$A$245,33)),"",SMALL('TAKIM KAYIT'!$A$6:$A$245,33))</f>
      </c>
      <c r="B136" s="123">
        <f>IF(A136="","",VLOOKUP(A136,'TAKIM KAYIT'!$A$6:$J$245,2,FALSE))</f>
      </c>
      <c r="C136" s="124">
        <f>IF(A136="","",VLOOKUP(A136,'TAKIM KAYIT'!$A$6:$J$245,3,FALSE))</f>
      </c>
      <c r="D136" s="125">
        <f>IF(ISERROR(VLOOKUP($C136,'START LİSTE'!$B$6:$F$1027,2,0)),"",VLOOKUP($C136,'START LİSTE'!$B$6:$F$1027,2,0))</f>
      </c>
      <c r="E136" s="126">
        <f>IF(ISERROR(VLOOKUP($C136,'START LİSTE'!$B$6:$F$1027,4,0)),"",VLOOKUP($C136,'START LİSTE'!$B$6:$F$1027,4,0))</f>
      </c>
      <c r="F136" s="127">
        <f>IF(ISERROR(VLOOKUP($C136,'FERDİ SONUÇ'!$B$6:$H$862,6,0)),"",VLOOKUP($C136,'FERDİ SONUÇ'!$B$6:$H$862,6,0))</f>
      </c>
      <c r="G136" s="128" t="str">
        <f>IF(OR(E136="",F136="DQ",F136="DNF",F136="DNS",F136=""),"-",VLOOKUP(C136,'FERDİ SONUÇ'!$B$6:$H$862,7,0))</f>
        <v>-</v>
      </c>
      <c r="H136" s="129">
        <f>IF(A136="","",VLOOKUP(A136,'TAKIM KAYIT'!$A$6:$K$245,10,FALSE))</f>
      </c>
    </row>
    <row r="137" spans="1:8" ht="14.25" customHeight="1">
      <c r="A137" s="122"/>
      <c r="B137" s="123"/>
      <c r="C137" s="124">
        <f>IF(A136="","",INDEX('TAKIM KAYIT'!$C$6:$C$245,MATCH(C136,'TAKIM KAYIT'!$C$6:$C$245,0)+1))</f>
      </c>
      <c r="D137" s="125">
        <f>IF(ISERROR(VLOOKUP($C137,'START LİSTE'!$B$6:$F$1027,2,0)),"",VLOOKUP($C137,'START LİSTE'!$B$6:$F$1027,2,0))</f>
      </c>
      <c r="E137" s="126">
        <f>IF(ISERROR(VLOOKUP($C137,'START LİSTE'!$B$6:$F$1027,4,0)),"",VLOOKUP($C137,'START LİSTE'!$B$6:$F$1027,4,0))</f>
      </c>
      <c r="F137" s="127">
        <f>IF(ISERROR(VLOOKUP($C137,'FERDİ SONUÇ'!$B$6:$H$862,6,0)),"",VLOOKUP($C137,'FERDİ SONUÇ'!$B$6:$H$862,6,0))</f>
      </c>
      <c r="G137" s="128" t="str">
        <f>IF(OR(E137="",F137="DQ",F137="DNF",F137="DNS",F137=""),"-",VLOOKUP(C137,'FERDİ SONUÇ'!$B$6:$H$862,7,0))</f>
        <v>-</v>
      </c>
      <c r="H137" s="129"/>
    </row>
    <row r="138" spans="1:8" ht="14.25" customHeight="1">
      <c r="A138" s="114"/>
      <c r="B138" s="115"/>
      <c r="C138" s="116">
        <f>IF(A140="","",INDEX('TAKIM KAYIT'!$C$6:$C$245,MATCH(C140,'TAKIM KAYIT'!$C$6:$C$245,0)-2))</f>
      </c>
      <c r="D138" s="117">
        <f>IF(ISERROR(VLOOKUP($C138,'START LİSTE'!$B$6:$F$1027,2,0)),"",VLOOKUP($C138,'START LİSTE'!$B$6:$F$1027,2,0))</f>
      </c>
      <c r="E138" s="118">
        <f>IF(ISERROR(VLOOKUP($C138,'START LİSTE'!$B$6:$F$1027,4,0)),"",VLOOKUP($C138,'START LİSTE'!$B$6:$F$1027,4,0))</f>
      </c>
      <c r="F138" s="119">
        <f>IF(ISERROR(VLOOKUP($C138,'FERDİ SONUÇ'!$B$6:$H$862,6,0)),"",VLOOKUP($C138,'FERDİ SONUÇ'!$B$6:$H$862,6,0))</f>
      </c>
      <c r="G138" s="130" t="str">
        <f>IF(OR(E138="",F138="DQ",F138="DNF",F138="DNS",F138=""),"-",VLOOKUP(C138,'FERDİ SONUÇ'!$B$6:$H$862,7,0))</f>
        <v>-</v>
      </c>
      <c r="H138" s="121"/>
    </row>
    <row r="139" spans="1:8" ht="14.25" customHeight="1">
      <c r="A139" s="122"/>
      <c r="B139" s="123"/>
      <c r="C139" s="124">
        <f>IF(A140="","",INDEX('TAKIM KAYIT'!$C$6:$C$245,MATCH(C140,'TAKIM KAYIT'!$C$6:$C$245,0)-1))</f>
      </c>
      <c r="D139" s="125">
        <f>IF(ISERROR(VLOOKUP($C139,'START LİSTE'!$B$6:$F$1027,2,0)),"",VLOOKUP($C139,'START LİSTE'!$B$6:$F$1027,2,0))</f>
      </c>
      <c r="E139" s="126">
        <f>IF(ISERROR(VLOOKUP($C139,'START LİSTE'!$B$6:$F$1027,4,0)),"",VLOOKUP($C139,'START LİSTE'!$B$6:$F$1027,4,0))</f>
      </c>
      <c r="F139" s="127">
        <f>IF(ISERROR(VLOOKUP($C139,'FERDİ SONUÇ'!$B$6:$H$862,6,0)),"",VLOOKUP($C139,'FERDİ SONUÇ'!$B$6:$H$862,6,0))</f>
      </c>
      <c r="G139" s="131" t="str">
        <f>IF(OR(E139="",F139="DQ",F139="DNF",F139="DNS",F139=""),"-",VLOOKUP(C139,'FERDİ SONUÇ'!$B$6:$H$862,7,0))</f>
        <v>-</v>
      </c>
      <c r="H139" s="129"/>
    </row>
    <row r="140" spans="1:8" ht="14.25" customHeight="1">
      <c r="A140" s="122">
        <f>IF(ISERROR(SMALL('TAKIM KAYIT'!$A$6:$A$245,34)),"",SMALL('TAKIM KAYIT'!$A$6:$A$245,34))</f>
      </c>
      <c r="B140" s="123">
        <f>IF(A140="","",VLOOKUP(A140,'TAKIM KAYIT'!$A$6:$J$245,2,FALSE))</f>
      </c>
      <c r="C140" s="124">
        <f>IF(A140="","",VLOOKUP(A140,'TAKIM KAYIT'!$A$6:$J$245,3,FALSE))</f>
      </c>
      <c r="D140" s="125">
        <f>IF(ISERROR(VLOOKUP($C140,'START LİSTE'!$B$6:$F$1027,2,0)),"",VLOOKUP($C140,'START LİSTE'!$B$6:$F$1027,2,0))</f>
      </c>
      <c r="E140" s="126">
        <f>IF(ISERROR(VLOOKUP($C140,'START LİSTE'!$B$6:$F$1027,4,0)),"",VLOOKUP($C140,'START LİSTE'!$B$6:$F$1027,4,0))</f>
      </c>
      <c r="F140" s="127">
        <f>IF(ISERROR(VLOOKUP($C140,'FERDİ SONUÇ'!$B$6:$H$862,6,0)),"",VLOOKUP($C140,'FERDİ SONUÇ'!$B$6:$H$862,6,0))</f>
      </c>
      <c r="G140" s="131" t="str">
        <f>IF(OR(E140="",F140="DQ",F140="DNF",F140="DNS",F140=""),"-",VLOOKUP(C140,'FERDİ SONUÇ'!$B$6:$H$862,7,0))</f>
        <v>-</v>
      </c>
      <c r="H140" s="129">
        <f>IF(A140="","",VLOOKUP(A140,'TAKIM KAYIT'!$A$6:$K$245,10,FALSE))</f>
      </c>
    </row>
    <row r="141" spans="1:8" ht="14.25" customHeight="1">
      <c r="A141" s="122"/>
      <c r="B141" s="123"/>
      <c r="C141" s="124">
        <f>IF(A140="","",INDEX('TAKIM KAYIT'!$C$6:$C$245,MATCH(C140,'TAKIM KAYIT'!$C$6:$C$245,0)+1))</f>
      </c>
      <c r="D141" s="125">
        <f>IF(ISERROR(VLOOKUP($C141,'START LİSTE'!$B$6:$F$1027,2,0)),"",VLOOKUP($C141,'START LİSTE'!$B$6:$F$1027,2,0))</f>
      </c>
      <c r="E141" s="126">
        <f>IF(ISERROR(VLOOKUP($C141,'START LİSTE'!$B$6:$F$1027,4,0)),"",VLOOKUP($C141,'START LİSTE'!$B$6:$F$1027,4,0))</f>
      </c>
      <c r="F141" s="127">
        <f>IF(ISERROR(VLOOKUP($C141,'FERDİ SONUÇ'!$B$6:$H$862,6,0)),"",VLOOKUP($C141,'FERDİ SONUÇ'!$B$6:$H$862,6,0))</f>
      </c>
      <c r="G141" s="131" t="str">
        <f>IF(OR(E141="",F141="DQ",F141="DNF",F141="DNS",F141=""),"-",VLOOKUP(C141,'FERDİ SONUÇ'!$B$6:$H$862,7,0))</f>
        <v>-</v>
      </c>
      <c r="H141" s="129"/>
    </row>
    <row r="142" spans="1:8" ht="14.25" customHeight="1">
      <c r="A142" s="114"/>
      <c r="B142" s="115"/>
      <c r="C142" s="116">
        <f>IF(A144="","",INDEX('TAKIM KAYIT'!$C$6:$C$245,MATCH(C144,'TAKIM KAYIT'!$C$6:$C$245,0)-2))</f>
      </c>
      <c r="D142" s="117">
        <f>IF(ISERROR(VLOOKUP($C142,'START LİSTE'!$B$6:$F$1027,2,0)),"",VLOOKUP($C142,'START LİSTE'!$B$6:$F$1027,2,0))</f>
      </c>
      <c r="E142" s="118">
        <f>IF(ISERROR(VLOOKUP($C142,'START LİSTE'!$B$6:$F$1027,4,0)),"",VLOOKUP($C142,'START LİSTE'!$B$6:$F$1027,4,0))</f>
      </c>
      <c r="F142" s="119">
        <f>IF(ISERROR(VLOOKUP($C142,'FERDİ SONUÇ'!$B$6:$H$862,6,0)),"",VLOOKUP($C142,'FERDİ SONUÇ'!$B$6:$H$862,6,0))</f>
      </c>
      <c r="G142" s="130" t="str">
        <f>IF(OR(E142="",F142="DQ",F142="DNF",F142="DNS",F142=""),"-",VLOOKUP(C142,'FERDİ SONUÇ'!$B$6:$H$862,7,0))</f>
        <v>-</v>
      </c>
      <c r="H142" s="121"/>
    </row>
    <row r="143" spans="1:8" ht="14.25" customHeight="1">
      <c r="A143" s="122"/>
      <c r="B143" s="123"/>
      <c r="C143" s="124">
        <f>IF(A144="","",INDEX('TAKIM KAYIT'!$C$6:$C$245,MATCH(C144,'TAKIM KAYIT'!$C$6:$C$245,0)-1))</f>
      </c>
      <c r="D143" s="125">
        <f>IF(ISERROR(VLOOKUP($C143,'START LİSTE'!$B$6:$F$1027,2,0)),"",VLOOKUP($C143,'START LİSTE'!$B$6:$F$1027,2,0))</f>
      </c>
      <c r="E143" s="126">
        <f>IF(ISERROR(VLOOKUP($C143,'START LİSTE'!$B$6:$F$1027,4,0)),"",VLOOKUP($C143,'START LİSTE'!$B$6:$F$1027,4,0))</f>
      </c>
      <c r="F143" s="127">
        <f>IF(ISERROR(VLOOKUP($C143,'FERDİ SONUÇ'!$B$6:$H$862,6,0)),"",VLOOKUP($C143,'FERDİ SONUÇ'!$B$6:$H$862,6,0))</f>
      </c>
      <c r="G143" s="131" t="str">
        <f>IF(OR(E143="",F143="DQ",F143="DNF",F143="DNS",F143=""),"-",VLOOKUP(C143,'FERDİ SONUÇ'!$B$6:$H$862,7,0))</f>
        <v>-</v>
      </c>
      <c r="H143" s="129"/>
    </row>
    <row r="144" spans="1:8" ht="14.25" customHeight="1">
      <c r="A144" s="122">
        <f>IF(ISERROR(SMALL('TAKIM KAYIT'!$A$6:$A$245,35)),"",SMALL('TAKIM KAYIT'!$A$6:$A$245,35))</f>
      </c>
      <c r="B144" s="123">
        <f>IF(A144="","",VLOOKUP(A144,'TAKIM KAYIT'!$A$6:$J$245,2,FALSE))</f>
      </c>
      <c r="C144" s="124">
        <f>IF(A144="","",VLOOKUP(A144,'TAKIM KAYIT'!$A$6:$J$245,3,FALSE))</f>
      </c>
      <c r="D144" s="125">
        <f>IF(ISERROR(VLOOKUP($C144,'START LİSTE'!$B$6:$F$1027,2,0)),"",VLOOKUP($C144,'START LİSTE'!$B$6:$F$1027,2,0))</f>
      </c>
      <c r="E144" s="126">
        <f>IF(ISERROR(VLOOKUP($C144,'START LİSTE'!$B$6:$F$1027,4,0)),"",VLOOKUP($C144,'START LİSTE'!$B$6:$F$1027,4,0))</f>
      </c>
      <c r="F144" s="127">
        <f>IF(ISERROR(VLOOKUP($C144,'FERDİ SONUÇ'!$B$6:$H$862,6,0)),"",VLOOKUP($C144,'FERDİ SONUÇ'!$B$6:$H$862,6,0))</f>
      </c>
      <c r="G144" s="131" t="str">
        <f>IF(OR(E144="",F144="DQ",F144="DNF",F144="DNS",F144=""),"-",VLOOKUP(C144,'FERDİ SONUÇ'!$B$6:$H$862,7,0))</f>
        <v>-</v>
      </c>
      <c r="H144" s="129">
        <f>IF(A144="","",VLOOKUP(A144,'TAKIM KAYIT'!$A$6:$K$245,10,FALSE))</f>
      </c>
    </row>
    <row r="145" spans="1:8" ht="14.25" customHeight="1">
      <c r="A145" s="122"/>
      <c r="B145" s="123"/>
      <c r="C145" s="124">
        <f>IF(A144="","",INDEX('TAKIM KAYIT'!$C$6:$C$245,MATCH(C144,'TAKIM KAYIT'!$C$6:$C$245,0)+1))</f>
      </c>
      <c r="D145" s="125">
        <f>IF(ISERROR(VLOOKUP($C145,'START LİSTE'!$B$6:$F$1027,2,0)),"",VLOOKUP($C145,'START LİSTE'!$B$6:$F$1027,2,0))</f>
      </c>
      <c r="E145" s="126">
        <f>IF(ISERROR(VLOOKUP($C145,'START LİSTE'!$B$6:$F$1027,4,0)),"",VLOOKUP($C145,'START LİSTE'!$B$6:$F$1027,4,0))</f>
      </c>
      <c r="F145" s="127">
        <f>IF(ISERROR(VLOOKUP($C145,'FERDİ SONUÇ'!$B$6:$H$862,6,0)),"",VLOOKUP($C145,'FERDİ SONUÇ'!$B$6:$H$862,6,0))</f>
      </c>
      <c r="G145" s="131" t="str">
        <f>IF(OR(E145="",F145="DQ",F145="DNF",F145="DNS",F145=""),"-",VLOOKUP(C145,'FERDİ SONUÇ'!$B$6:$H$862,7,0))</f>
        <v>-</v>
      </c>
      <c r="H145" s="129"/>
    </row>
    <row r="146" spans="1:8" ht="14.25" customHeight="1">
      <c r="A146" s="114"/>
      <c r="B146" s="115"/>
      <c r="C146" s="116">
        <f>IF(A148="","",INDEX('TAKIM KAYIT'!$C$6:$C$245,MATCH(C148,'TAKIM KAYIT'!$C$6:$C$245,0)-2))</f>
      </c>
      <c r="D146" s="117">
        <f>IF(ISERROR(VLOOKUP($C146,'START LİSTE'!$B$6:$F$1027,2,0)),"",VLOOKUP($C146,'START LİSTE'!$B$6:$F$1027,2,0))</f>
      </c>
      <c r="E146" s="118">
        <f>IF(ISERROR(VLOOKUP($C146,'START LİSTE'!$B$6:$F$1027,4,0)),"",VLOOKUP($C146,'START LİSTE'!$B$6:$F$1027,4,0))</f>
      </c>
      <c r="F146" s="119">
        <f>IF(ISERROR(VLOOKUP($C146,'FERDİ SONUÇ'!$B$6:$H$862,6,0)),"",VLOOKUP($C146,'FERDİ SONUÇ'!$B$6:$H$862,6,0))</f>
      </c>
      <c r="G146" s="130" t="str">
        <f>IF(OR(E146="",F146="DQ",F146="DNF",F146="DNS",F146=""),"-",VLOOKUP(C146,'FERDİ SONUÇ'!$B$6:$H$862,7,0))</f>
        <v>-</v>
      </c>
      <c r="H146" s="121"/>
    </row>
    <row r="147" spans="1:8" ht="14.25" customHeight="1">
      <c r="A147" s="122"/>
      <c r="B147" s="123"/>
      <c r="C147" s="124">
        <f>IF(A148="","",INDEX('TAKIM KAYIT'!$C$6:$C$245,MATCH(C148,'TAKIM KAYIT'!$C$6:$C$245,0)-1))</f>
      </c>
      <c r="D147" s="125">
        <f>IF(ISERROR(VLOOKUP($C147,'START LİSTE'!$B$6:$F$1027,2,0)),"",VLOOKUP($C147,'START LİSTE'!$B$6:$F$1027,2,0))</f>
      </c>
      <c r="E147" s="126">
        <f>IF(ISERROR(VLOOKUP($C147,'START LİSTE'!$B$6:$F$1027,4,0)),"",VLOOKUP($C147,'START LİSTE'!$B$6:$F$1027,4,0))</f>
      </c>
      <c r="F147" s="127">
        <f>IF(ISERROR(VLOOKUP($C147,'FERDİ SONUÇ'!$B$6:$H$862,6,0)),"",VLOOKUP($C147,'FERDİ SONUÇ'!$B$6:$H$862,6,0))</f>
      </c>
      <c r="G147" s="131" t="str">
        <f>IF(OR(E147="",F147="DQ",F147="DNF",F147="DNS",F147=""),"-",VLOOKUP(C147,'FERDİ SONUÇ'!$B$6:$H$862,7,0))</f>
        <v>-</v>
      </c>
      <c r="H147" s="129"/>
    </row>
    <row r="148" spans="1:8" ht="14.25" customHeight="1">
      <c r="A148" s="122">
        <f>IF(ISERROR(SMALL('TAKIM KAYIT'!$A$6:$A$245,36)),"",SMALL('TAKIM KAYIT'!$A$6:$A$245,36))</f>
      </c>
      <c r="B148" s="123">
        <f>IF(A148="","",VLOOKUP(A148,'TAKIM KAYIT'!$A$6:$J$245,2,FALSE))</f>
      </c>
      <c r="C148" s="124">
        <f>IF(A148="","",VLOOKUP(A148,'TAKIM KAYIT'!$A$6:$J$245,3,FALSE))</f>
      </c>
      <c r="D148" s="125">
        <f>IF(ISERROR(VLOOKUP($C148,'START LİSTE'!$B$6:$F$1027,2,0)),"",VLOOKUP($C148,'START LİSTE'!$B$6:$F$1027,2,0))</f>
      </c>
      <c r="E148" s="126">
        <f>IF(ISERROR(VLOOKUP($C148,'START LİSTE'!$B$6:$F$1027,4,0)),"",VLOOKUP($C148,'START LİSTE'!$B$6:$F$1027,4,0))</f>
      </c>
      <c r="F148" s="127">
        <f>IF(ISERROR(VLOOKUP($C148,'FERDİ SONUÇ'!$B$6:$H$862,6,0)),"",VLOOKUP($C148,'FERDİ SONUÇ'!$B$6:$H$862,6,0))</f>
      </c>
      <c r="G148" s="131" t="str">
        <f>IF(OR(E148="",F148="DQ",F148="DNF",F148="DNS",F148=""),"-",VLOOKUP(C148,'FERDİ SONUÇ'!$B$6:$H$862,7,0))</f>
        <v>-</v>
      </c>
      <c r="H148" s="129">
        <f>IF(A148="","",VLOOKUP(A148,'TAKIM KAYIT'!$A$6:$K$245,10,FALSE))</f>
      </c>
    </row>
    <row r="149" spans="1:8" ht="14.25" customHeight="1">
      <c r="A149" s="122"/>
      <c r="B149" s="123"/>
      <c r="C149" s="124">
        <f>IF(A148="","",INDEX('TAKIM KAYIT'!$C$6:$C$245,MATCH(C148,'TAKIM KAYIT'!$C$6:$C$245,0)+1))</f>
      </c>
      <c r="D149" s="125">
        <f>IF(ISERROR(VLOOKUP($C149,'START LİSTE'!$B$6:$F$1027,2,0)),"",VLOOKUP($C149,'START LİSTE'!$B$6:$F$1027,2,0))</f>
      </c>
      <c r="E149" s="126">
        <f>IF(ISERROR(VLOOKUP($C149,'START LİSTE'!$B$6:$F$1027,4,0)),"",VLOOKUP($C149,'START LİSTE'!$B$6:$F$1027,4,0))</f>
      </c>
      <c r="F149" s="127">
        <f>IF(ISERROR(VLOOKUP($C149,'FERDİ SONUÇ'!$B$6:$H$862,6,0)),"",VLOOKUP($C149,'FERDİ SONUÇ'!$B$6:$H$862,6,0))</f>
      </c>
      <c r="G149" s="131" t="str">
        <f>IF(OR(E149="",F149="DQ",F149="DNF",F149="DNS",F149=""),"-",VLOOKUP(C149,'FERDİ SONUÇ'!$B$6:$H$862,7,0))</f>
        <v>-</v>
      </c>
      <c r="H149" s="129"/>
    </row>
    <row r="150" spans="1:8" ht="14.25" customHeight="1">
      <c r="A150" s="114"/>
      <c r="B150" s="115"/>
      <c r="C150" s="116">
        <f>IF(A152="","",INDEX('TAKIM KAYIT'!$C$6:$C$245,MATCH(C152,'TAKIM KAYIT'!$C$6:$C$245,0)-2))</f>
      </c>
      <c r="D150" s="117">
        <f>IF(ISERROR(VLOOKUP($C150,'START LİSTE'!$B$6:$F$1027,2,0)),"",VLOOKUP($C150,'START LİSTE'!$B$6:$F$1027,2,0))</f>
      </c>
      <c r="E150" s="118">
        <f>IF(ISERROR(VLOOKUP($C150,'START LİSTE'!$B$6:$F$1027,4,0)),"",VLOOKUP($C150,'START LİSTE'!$B$6:$F$1027,4,0))</f>
      </c>
      <c r="F150" s="119">
        <f>IF(ISERROR(VLOOKUP($C150,'FERDİ SONUÇ'!$B$6:$H$862,6,0)),"",VLOOKUP($C150,'FERDİ SONUÇ'!$B$6:$H$862,6,0))</f>
      </c>
      <c r="G150" s="130" t="str">
        <f>IF(OR(E150="",F150="DQ",F150="DNF",F150="DNS",F150=""),"-",VLOOKUP(C150,'FERDİ SONUÇ'!$B$6:$H$862,7,0))</f>
        <v>-</v>
      </c>
      <c r="H150" s="121"/>
    </row>
    <row r="151" spans="1:8" ht="14.25" customHeight="1">
      <c r="A151" s="122"/>
      <c r="B151" s="123"/>
      <c r="C151" s="124">
        <f>IF(A152="","",INDEX('TAKIM KAYIT'!$C$6:$C$245,MATCH(C152,'TAKIM KAYIT'!$C$6:$C$245,0)-1))</f>
      </c>
      <c r="D151" s="125">
        <f>IF(ISERROR(VLOOKUP($C151,'START LİSTE'!$B$6:$F$1027,2,0)),"",VLOOKUP($C151,'START LİSTE'!$B$6:$F$1027,2,0))</f>
      </c>
      <c r="E151" s="126">
        <f>IF(ISERROR(VLOOKUP($C151,'START LİSTE'!$B$6:$F$1027,4,0)),"",VLOOKUP($C151,'START LİSTE'!$B$6:$F$1027,4,0))</f>
      </c>
      <c r="F151" s="127">
        <f>IF(ISERROR(VLOOKUP($C151,'FERDİ SONUÇ'!$B$6:$H$862,6,0)),"",VLOOKUP($C151,'FERDİ SONUÇ'!$B$6:$H$862,6,0))</f>
      </c>
      <c r="G151" s="131" t="str">
        <f>IF(OR(E151="",F151="DQ",F151="DNF",F151="DNS",F151=""),"-",VLOOKUP(C151,'FERDİ SONUÇ'!$B$6:$H$862,7,0))</f>
        <v>-</v>
      </c>
      <c r="H151" s="129"/>
    </row>
    <row r="152" spans="1:8" ht="14.25" customHeight="1">
      <c r="A152" s="122">
        <f>IF(ISERROR(SMALL('TAKIM KAYIT'!$A$6:$A$245,37)),"",SMALL('TAKIM KAYIT'!$A$6:$A$245,37))</f>
      </c>
      <c r="B152" s="123">
        <f>IF(A152="","",VLOOKUP(A152,'TAKIM KAYIT'!$A$6:$J$245,2,FALSE))</f>
      </c>
      <c r="C152" s="124">
        <f>IF(A152="","",VLOOKUP(A152,'TAKIM KAYIT'!$A$6:$J$245,3,FALSE))</f>
      </c>
      <c r="D152" s="125">
        <f>IF(ISERROR(VLOOKUP($C152,'START LİSTE'!$B$6:$F$1027,2,0)),"",VLOOKUP($C152,'START LİSTE'!$B$6:$F$1027,2,0))</f>
      </c>
      <c r="E152" s="126">
        <f>IF(ISERROR(VLOOKUP($C152,'START LİSTE'!$B$6:$F$1027,4,0)),"",VLOOKUP($C152,'START LİSTE'!$B$6:$F$1027,4,0))</f>
      </c>
      <c r="F152" s="127">
        <f>IF(ISERROR(VLOOKUP($C152,'FERDİ SONUÇ'!$B$6:$H$862,6,0)),"",VLOOKUP($C152,'FERDİ SONUÇ'!$B$6:$H$862,6,0))</f>
      </c>
      <c r="G152" s="131" t="str">
        <f>IF(OR(E152="",F152="DQ",F152="DNF",F152="DNS",F152=""),"-",VLOOKUP(C152,'FERDİ SONUÇ'!$B$6:$H$862,7,0))</f>
        <v>-</v>
      </c>
      <c r="H152" s="129">
        <f>IF(A152="","",VLOOKUP(A152,'TAKIM KAYIT'!$A$6:$K$245,10,FALSE))</f>
      </c>
    </row>
    <row r="153" spans="1:8" ht="14.25" customHeight="1">
      <c r="A153" s="122"/>
      <c r="B153" s="123"/>
      <c r="C153" s="124">
        <f>IF(A152="","",INDEX('TAKIM KAYIT'!$C$6:$C$245,MATCH(C152,'TAKIM KAYIT'!$C$6:$C$245,0)+1))</f>
      </c>
      <c r="D153" s="125">
        <f>IF(ISERROR(VLOOKUP($C153,'START LİSTE'!$B$6:$F$1027,2,0)),"",VLOOKUP($C153,'START LİSTE'!$B$6:$F$1027,2,0))</f>
      </c>
      <c r="E153" s="126">
        <f>IF(ISERROR(VLOOKUP($C153,'START LİSTE'!$B$6:$F$1027,4,0)),"",VLOOKUP($C153,'START LİSTE'!$B$6:$F$1027,4,0))</f>
      </c>
      <c r="F153" s="127">
        <f>IF(ISERROR(VLOOKUP($C153,'FERDİ SONUÇ'!$B$6:$H$862,6,0)),"",VLOOKUP($C153,'FERDİ SONUÇ'!$B$6:$H$862,6,0))</f>
      </c>
      <c r="G153" s="131" t="str">
        <f>IF(OR(E153="",F153="DQ",F153="DNF",F153="DNS",F153=""),"-",VLOOKUP(C153,'FERDİ SONUÇ'!$B$6:$H$862,7,0))</f>
        <v>-</v>
      </c>
      <c r="H153" s="129"/>
    </row>
    <row r="154" spans="1:8" ht="14.25" customHeight="1">
      <c r="A154" s="114"/>
      <c r="B154" s="115"/>
      <c r="C154" s="116">
        <f>IF(A156="","",INDEX('TAKIM KAYIT'!$C$6:$C$245,MATCH(C156,'TAKIM KAYIT'!$C$6:$C$245,0)-2))</f>
      </c>
      <c r="D154" s="117">
        <f>IF(ISERROR(VLOOKUP($C154,'START LİSTE'!$B$6:$F$1027,2,0)),"",VLOOKUP($C154,'START LİSTE'!$B$6:$F$1027,2,0))</f>
      </c>
      <c r="E154" s="118">
        <f>IF(ISERROR(VLOOKUP($C154,'START LİSTE'!$B$6:$F$1027,4,0)),"",VLOOKUP($C154,'START LİSTE'!$B$6:$F$1027,4,0))</f>
      </c>
      <c r="F154" s="119">
        <f>IF(ISERROR(VLOOKUP($C154,'FERDİ SONUÇ'!$B$6:$H$862,6,0)),"",VLOOKUP($C154,'FERDİ SONUÇ'!$B$6:$H$862,6,0))</f>
      </c>
      <c r="G154" s="130" t="str">
        <f>IF(OR(E154="",F154="DQ",F154="DNF",F154="DNS",F154=""),"-",VLOOKUP(C154,'FERDİ SONUÇ'!$B$6:$H$862,7,0))</f>
        <v>-</v>
      </c>
      <c r="H154" s="121"/>
    </row>
    <row r="155" spans="1:8" ht="14.25" customHeight="1">
      <c r="A155" s="122"/>
      <c r="B155" s="123"/>
      <c r="C155" s="124">
        <f>IF(A156="","",INDEX('TAKIM KAYIT'!$C$6:$C$245,MATCH(C156,'TAKIM KAYIT'!$C$6:$C$245,0)-1))</f>
      </c>
      <c r="D155" s="125">
        <f>IF(ISERROR(VLOOKUP($C155,'START LİSTE'!$B$6:$F$1027,2,0)),"",VLOOKUP($C155,'START LİSTE'!$B$6:$F$1027,2,0))</f>
      </c>
      <c r="E155" s="126">
        <f>IF(ISERROR(VLOOKUP($C155,'START LİSTE'!$B$6:$F$1027,4,0)),"",VLOOKUP($C155,'START LİSTE'!$B$6:$F$1027,4,0))</f>
      </c>
      <c r="F155" s="127">
        <f>IF(ISERROR(VLOOKUP($C155,'FERDİ SONUÇ'!$B$6:$H$862,6,0)),"",VLOOKUP($C155,'FERDİ SONUÇ'!$B$6:$H$862,6,0))</f>
      </c>
      <c r="G155" s="131" t="str">
        <f>IF(OR(E155="",F155="DQ",F155="DNF",F155="DNS",F155=""),"-",VLOOKUP(C155,'FERDİ SONUÇ'!$B$6:$H$862,7,0))</f>
        <v>-</v>
      </c>
      <c r="H155" s="129"/>
    </row>
    <row r="156" spans="1:8" ht="14.25" customHeight="1">
      <c r="A156" s="122">
        <f>IF(ISERROR(SMALL('TAKIM KAYIT'!$A$6:$A$245,38)),"",SMALL('TAKIM KAYIT'!$A$6:$A$245,38))</f>
      </c>
      <c r="B156" s="123">
        <f>IF(A156="","",VLOOKUP(A156,'TAKIM KAYIT'!$A$6:$J$245,2,FALSE))</f>
      </c>
      <c r="C156" s="124">
        <f>IF(A156="","",VLOOKUP(A156,'TAKIM KAYIT'!$A$6:$J$245,3,FALSE))</f>
      </c>
      <c r="D156" s="125">
        <f>IF(ISERROR(VLOOKUP($C156,'START LİSTE'!$B$6:$F$1027,2,0)),"",VLOOKUP($C156,'START LİSTE'!$B$6:$F$1027,2,0))</f>
      </c>
      <c r="E156" s="126">
        <f>IF(ISERROR(VLOOKUP($C156,'START LİSTE'!$B$6:$F$1027,4,0)),"",VLOOKUP($C156,'START LİSTE'!$B$6:$F$1027,4,0))</f>
      </c>
      <c r="F156" s="127">
        <f>IF(ISERROR(VLOOKUP($C156,'FERDİ SONUÇ'!$B$6:$H$862,6,0)),"",VLOOKUP($C156,'FERDİ SONUÇ'!$B$6:$H$862,6,0))</f>
      </c>
      <c r="G156" s="131" t="str">
        <f>IF(OR(E156="",F156="DQ",F156="DNF",F156="DNS",F156=""),"-",VLOOKUP(C156,'FERDİ SONUÇ'!$B$6:$H$862,7,0))</f>
        <v>-</v>
      </c>
      <c r="H156" s="129">
        <f>IF(A156="","",VLOOKUP(A156,'TAKIM KAYIT'!$A$6:$K$245,10,FALSE))</f>
      </c>
    </row>
    <row r="157" spans="1:8" ht="14.25" customHeight="1">
      <c r="A157" s="132"/>
      <c r="B157" s="133"/>
      <c r="C157" s="134">
        <f>IF(A156="","",INDEX('TAKIM KAYIT'!$C$6:$C$245,MATCH(C156,'TAKIM KAYIT'!$C$6:$C$245,0)+1))</f>
      </c>
      <c r="D157" s="135">
        <f>IF(ISERROR(VLOOKUP($C157,'START LİSTE'!$B$6:$F$1027,2,0)),"",VLOOKUP($C157,'START LİSTE'!$B$6:$F$1027,2,0))</f>
      </c>
      <c r="E157" s="136">
        <f>IF(ISERROR(VLOOKUP($C157,'START LİSTE'!$B$6:$F$1027,4,0)),"",VLOOKUP($C157,'START LİSTE'!$B$6:$F$1027,4,0))</f>
      </c>
      <c r="F157" s="137">
        <f>IF(ISERROR(VLOOKUP($C157,'FERDİ SONUÇ'!$B$6:$H$862,6,0)),"",VLOOKUP($C157,'FERDİ SONUÇ'!$B$6:$H$862,6,0))</f>
      </c>
      <c r="G157" s="138" t="str">
        <f>IF(OR(E157="",F157="DQ",F157="DNF",F157="DNS",F157=""),"-",VLOOKUP(C157,'FERDİ SONUÇ'!$B$6:$H$862,7,0))</f>
        <v>-</v>
      </c>
      <c r="H157" s="139"/>
    </row>
    <row r="158" spans="1:8" ht="14.25" customHeight="1">
      <c r="A158" s="114"/>
      <c r="B158" s="115"/>
      <c r="C158" s="116">
        <f>IF(A160="","",INDEX('TAKIM KAYIT'!$C$6:$C$245,MATCH(C160,'TAKIM KAYIT'!$C$6:$C$245,0)-2))</f>
      </c>
      <c r="D158" s="117">
        <f>IF(ISERROR(VLOOKUP($C158,'START LİSTE'!$B$6:$F$1027,2,0)),"",VLOOKUP($C158,'START LİSTE'!$B$6:$F$1027,2,0))</f>
      </c>
      <c r="E158" s="118">
        <f>IF(ISERROR(VLOOKUP($C158,'START LİSTE'!$B$6:$F$1027,4,0)),"",VLOOKUP($C158,'START LİSTE'!$B$6:$F$1027,4,0))</f>
      </c>
      <c r="F158" s="119">
        <f>IF(ISERROR(VLOOKUP($C158,'FERDİ SONUÇ'!$B$6:$H$862,6,0)),"",VLOOKUP($C158,'FERDİ SONUÇ'!$B$6:$H$862,6,0))</f>
      </c>
      <c r="G158" s="130" t="str">
        <f>IF(OR(E158="",F158="DQ",F158="DNF",F158="DNS",F158=""),"-",VLOOKUP(C158,'FERDİ SONUÇ'!$B$6:$H$862,7,0))</f>
        <v>-</v>
      </c>
      <c r="H158" s="121"/>
    </row>
    <row r="159" spans="1:8" ht="14.25" customHeight="1">
      <c r="A159" s="122"/>
      <c r="B159" s="123"/>
      <c r="C159" s="124">
        <f>IF(A160="","",INDEX('TAKIM KAYIT'!$C$6:$C$245,MATCH(C160,'TAKIM KAYIT'!$C$6:$C$245,0)-1))</f>
      </c>
      <c r="D159" s="125">
        <f>IF(ISERROR(VLOOKUP($C159,'START LİSTE'!$B$6:$F$1027,2,0)),"",VLOOKUP($C159,'START LİSTE'!$B$6:$F$1027,2,0))</f>
      </c>
      <c r="E159" s="126">
        <f>IF(ISERROR(VLOOKUP($C159,'START LİSTE'!$B$6:$F$1027,4,0)),"",VLOOKUP($C159,'START LİSTE'!$B$6:$F$1027,4,0))</f>
      </c>
      <c r="F159" s="127">
        <f>IF(ISERROR(VLOOKUP($C159,'FERDİ SONUÇ'!$B$6:$H$862,6,0)),"",VLOOKUP($C159,'FERDİ SONUÇ'!$B$6:$H$862,6,0))</f>
      </c>
      <c r="G159" s="131" t="str">
        <f>IF(OR(E159="",F159="DQ",F159="DNF",F159="DNS",F159=""),"-",VLOOKUP(C159,'FERDİ SONUÇ'!$B$6:$H$862,7,0))</f>
        <v>-</v>
      </c>
      <c r="H159" s="129"/>
    </row>
    <row r="160" spans="1:8" ht="14.25" customHeight="1">
      <c r="A160" s="122">
        <f>IF(ISERROR(SMALL('TAKIM KAYIT'!$A$6:$A$245,39)),"",SMALL('TAKIM KAYIT'!$A$6:$A$245,39))</f>
      </c>
      <c r="B160" s="123">
        <f>IF(A160="","",VLOOKUP(A160,'TAKIM KAYIT'!$A$6:$J$245,2,FALSE))</f>
      </c>
      <c r="C160" s="124">
        <f>IF(A160="","",VLOOKUP(A160,'TAKIM KAYIT'!$A$6:$J$245,3,FALSE))</f>
      </c>
      <c r="D160" s="125">
        <f>IF(ISERROR(VLOOKUP($C160,'START LİSTE'!$B$6:$F$1027,2,0)),"",VLOOKUP($C160,'START LİSTE'!$B$6:$F$1027,2,0))</f>
      </c>
      <c r="E160" s="126">
        <f>IF(ISERROR(VLOOKUP($C160,'START LİSTE'!$B$6:$F$1027,4,0)),"",VLOOKUP($C160,'START LİSTE'!$B$6:$F$1027,4,0))</f>
      </c>
      <c r="F160" s="127">
        <f>IF(ISERROR(VLOOKUP($C160,'FERDİ SONUÇ'!$B$6:$H$862,6,0)),"",VLOOKUP($C160,'FERDİ SONUÇ'!$B$6:$H$862,6,0))</f>
      </c>
      <c r="G160" s="131" t="str">
        <f>IF(OR(E160="",F160="DQ",F160="DNF",F160="DNS",F160=""),"-",VLOOKUP(C160,'FERDİ SONUÇ'!$B$6:$H$862,7,0))</f>
        <v>-</v>
      </c>
      <c r="H160" s="129">
        <f>IF(A160="","",VLOOKUP(A160,'TAKIM KAYIT'!$A$6:$K$245,10,FALSE))</f>
      </c>
    </row>
    <row r="161" spans="1:8" ht="14.25" customHeight="1">
      <c r="A161" s="122"/>
      <c r="B161" s="123"/>
      <c r="C161" s="124">
        <f>IF(A160="","",INDEX('TAKIM KAYIT'!$C$6:$C$245,MATCH(C160,'TAKIM KAYIT'!$C$6:$C$245,0)+1))</f>
      </c>
      <c r="D161" s="125">
        <f>IF(ISERROR(VLOOKUP($C161,'START LİSTE'!$B$6:$F$1027,2,0)),"",VLOOKUP($C161,'START LİSTE'!$B$6:$F$1027,2,0))</f>
      </c>
      <c r="E161" s="126">
        <f>IF(ISERROR(VLOOKUP($C161,'START LİSTE'!$B$6:$F$1027,4,0)),"",VLOOKUP($C161,'START LİSTE'!$B$6:$F$1027,4,0))</f>
      </c>
      <c r="F161" s="127">
        <f>IF(ISERROR(VLOOKUP($C161,'FERDİ SONUÇ'!$B$6:$H$862,6,0)),"",VLOOKUP($C161,'FERDİ SONUÇ'!$B$6:$H$862,6,0))</f>
      </c>
      <c r="G161" s="131" t="str">
        <f>IF(OR(E161="",F161="DQ",F161="DNF",F161="DNS",F161=""),"-",VLOOKUP(C161,'FERDİ SONUÇ'!$B$6:$H$862,7,0))</f>
        <v>-</v>
      </c>
      <c r="H161" s="129"/>
    </row>
    <row r="162" spans="1:8" ht="14.25" customHeight="1">
      <c r="A162" s="114"/>
      <c r="B162" s="115"/>
      <c r="C162" s="116">
        <f>IF(A164="","",INDEX('TAKIM KAYIT'!$C$6:$C$245,MATCH(C164,'TAKIM KAYIT'!$C$6:$C$245,0)-2))</f>
      </c>
      <c r="D162" s="117">
        <f>IF(ISERROR(VLOOKUP($C162,'START LİSTE'!$B$6:$F$1027,2,0)),"",VLOOKUP($C162,'START LİSTE'!$B$6:$F$1027,2,0))</f>
      </c>
      <c r="E162" s="118">
        <f>IF(ISERROR(VLOOKUP($C162,'START LİSTE'!$B$6:$F$1027,4,0)),"",VLOOKUP($C162,'START LİSTE'!$B$6:$F$1027,4,0))</f>
      </c>
      <c r="F162" s="119">
        <f>IF(ISERROR(VLOOKUP($C162,'FERDİ SONUÇ'!$B$6:$H$862,6,0)),"",VLOOKUP($C162,'FERDİ SONUÇ'!$B$6:$H$862,6,0))</f>
      </c>
      <c r="G162" s="130" t="str">
        <f>IF(OR(E162="",F162="DQ",F162="DNF",F162="DNS",F162=""),"-",VLOOKUP(C162,'FERDİ SONUÇ'!$B$6:$H$862,7,0))</f>
        <v>-</v>
      </c>
      <c r="H162" s="121"/>
    </row>
    <row r="163" spans="1:8" ht="14.25" customHeight="1">
      <c r="A163" s="122"/>
      <c r="B163" s="123"/>
      <c r="C163" s="124">
        <f>IF(A164="","",INDEX('TAKIM KAYIT'!$C$6:$C$245,MATCH(C164,'TAKIM KAYIT'!$C$6:$C$245,0)-1))</f>
      </c>
      <c r="D163" s="125">
        <f>IF(ISERROR(VLOOKUP($C163,'START LİSTE'!$B$6:$F$1027,2,0)),"",VLOOKUP($C163,'START LİSTE'!$B$6:$F$1027,2,0))</f>
      </c>
      <c r="E163" s="126">
        <f>IF(ISERROR(VLOOKUP($C163,'START LİSTE'!$B$6:$F$1027,4,0)),"",VLOOKUP($C163,'START LİSTE'!$B$6:$F$1027,4,0))</f>
      </c>
      <c r="F163" s="127">
        <f>IF(ISERROR(VLOOKUP($C163,'FERDİ SONUÇ'!$B$6:$H$862,6,0)),"",VLOOKUP($C163,'FERDİ SONUÇ'!$B$6:$H$862,6,0))</f>
      </c>
      <c r="G163" s="131" t="str">
        <f>IF(OR(E163="",F163="DQ",F163="DNF",F163="DNS",F163=""),"-",VLOOKUP(C163,'FERDİ SONUÇ'!$B$6:$H$862,7,0))</f>
        <v>-</v>
      </c>
      <c r="H163" s="129"/>
    </row>
    <row r="164" spans="1:8" ht="14.25" customHeight="1">
      <c r="A164" s="43">
        <f>IF(ISERROR(SMALL('TAKIM KAYIT'!$A$6:$A$245,40)),"",SMALL('TAKIM KAYIT'!$A$6:$A$245,40))</f>
      </c>
      <c r="B164" s="123">
        <f>IF(A164="","",VLOOKUP(A164,'TAKIM KAYIT'!$A$6:$J$245,2,FALSE))</f>
      </c>
      <c r="C164" s="124">
        <f>IF(A164="","",VLOOKUP(A164,'TAKIM KAYIT'!$A$6:$J$245,3,FALSE))</f>
      </c>
      <c r="D164" s="125">
        <f>IF(ISERROR(VLOOKUP($C164,'START LİSTE'!$B$6:$F$1027,2,0)),"",VLOOKUP($C164,'START LİSTE'!$B$6:$F$1027,2,0))</f>
      </c>
      <c r="E164" s="126">
        <f>IF(ISERROR(VLOOKUP($C164,'START LİSTE'!$B$6:$F$1027,4,0)),"",VLOOKUP($C164,'START LİSTE'!$B$6:$F$1027,4,0))</f>
      </c>
      <c r="F164" s="127">
        <f>IF(ISERROR(VLOOKUP($C164,'FERDİ SONUÇ'!$B$6:$H$862,6,0)),"",VLOOKUP($C164,'FERDİ SONUÇ'!$B$6:$H$862,6,0))</f>
      </c>
      <c r="G164" s="131" t="str">
        <f>IF(OR(E164="",F164="DQ",F164="DNF",F164="DNS",F164=""),"-",VLOOKUP(C164,'FERDİ SONUÇ'!$B$6:$H$862,7,0))</f>
        <v>-</v>
      </c>
      <c r="H164" s="129">
        <f>IF(A164="","",VLOOKUP(A164,'TAKIM KAYIT'!$A$6:$K$245,10,FALSE))</f>
      </c>
    </row>
    <row r="165" spans="1:8" ht="14.25" customHeight="1">
      <c r="A165" s="122"/>
      <c r="B165" s="123"/>
      <c r="C165" s="124">
        <f>IF(A164="","",INDEX('TAKIM KAYIT'!$C$6:$C$245,MATCH(C164,'TAKIM KAYIT'!$C$6:$C$245,0)+1))</f>
      </c>
      <c r="D165" s="125">
        <f>IF(ISERROR(VLOOKUP($C165,'START LİSTE'!$B$6:$F$1027,2,0)),"",VLOOKUP($C165,'START LİSTE'!$B$6:$F$1027,2,0))</f>
      </c>
      <c r="E165" s="126">
        <f>IF(ISERROR(VLOOKUP($C165,'START LİSTE'!$B$6:$F$1027,4,0)),"",VLOOKUP($C165,'START LİSTE'!$B$6:$F$1027,4,0))</f>
      </c>
      <c r="F165" s="127">
        <f>IF(ISERROR(VLOOKUP($C165,'FERDİ SONUÇ'!$B$6:$H$862,6,0)),"",VLOOKUP($C165,'FERDİ SONUÇ'!$B$6:$H$862,6,0))</f>
      </c>
      <c r="G165" s="131" t="str">
        <f>IF(OR(E165="",F165="DQ",F165="DNF",F165="DNS",F165=""),"-",VLOOKUP(C165,'FERDİ SONUÇ'!$B$6:$H$862,7,0))</f>
        <v>-</v>
      </c>
      <c r="H165" s="129"/>
    </row>
    <row r="166" spans="1:8" ht="14.25" customHeight="1">
      <c r="A166" s="114"/>
      <c r="B166" s="115"/>
      <c r="C166" s="116">
        <f>IF(A168="","",INDEX('TAKIM KAYIT'!$C$6:$C$245,MATCH(C168,'TAKIM KAYIT'!$C$6:$C$245,0)-2))</f>
      </c>
      <c r="D166" s="117">
        <f>IF(ISERROR(VLOOKUP($C166,'START LİSTE'!$B$6:$F$1027,2,0)),"",VLOOKUP($C166,'START LİSTE'!$B$6:$F$1027,2,0))</f>
      </c>
      <c r="E166" s="118">
        <f>IF(ISERROR(VLOOKUP($C166,'START LİSTE'!$B$6:$F$1027,4,0)),"",VLOOKUP($C166,'START LİSTE'!$B$6:$F$1027,4,0))</f>
      </c>
      <c r="F166" s="119">
        <f>IF(ISERROR(VLOOKUP($C166,'FERDİ SONUÇ'!$B$6:$H$862,6,0)),"",VLOOKUP($C166,'FERDİ SONUÇ'!$B$6:$H$862,6,0))</f>
      </c>
      <c r="G166" s="130" t="str">
        <f>IF(OR(E166="",F166="DQ",F166="DNF",F166="DNS",F166=""),"-",VLOOKUP(C166,'FERDİ SONUÇ'!$B$6:$H$862,7,0))</f>
        <v>-</v>
      </c>
      <c r="H166" s="121"/>
    </row>
    <row r="167" spans="1:8" ht="14.25" customHeight="1">
      <c r="A167" s="122"/>
      <c r="B167" s="123"/>
      <c r="C167" s="124">
        <f>IF(A168="","",INDEX('TAKIM KAYIT'!$C$6:$C$245,MATCH(C168,'TAKIM KAYIT'!$C$6:$C$245,0)-1))</f>
      </c>
      <c r="D167" s="125">
        <f>IF(ISERROR(VLOOKUP($C167,'START LİSTE'!$B$6:$F$1027,2,0)),"",VLOOKUP($C167,'START LİSTE'!$B$6:$F$1027,2,0))</f>
      </c>
      <c r="E167" s="126">
        <f>IF(ISERROR(VLOOKUP($C167,'START LİSTE'!$B$6:$F$1027,4,0)),"",VLOOKUP($C167,'START LİSTE'!$B$6:$F$1027,4,0))</f>
      </c>
      <c r="F167" s="127">
        <f>IF(ISERROR(VLOOKUP($C167,'FERDİ SONUÇ'!$B$6:$H$862,6,0)),"",VLOOKUP($C167,'FERDİ SONUÇ'!$B$6:$H$862,6,0))</f>
      </c>
      <c r="G167" s="131" t="str">
        <f>IF(OR(E167="",F167="DQ",F167="DNF",F167="DNS",F167=""),"-",VLOOKUP(C167,'FERDİ SONUÇ'!$B$6:$H$862,7,0))</f>
        <v>-</v>
      </c>
      <c r="H167" s="129"/>
    </row>
    <row r="168" spans="1:8" ht="14.25" customHeight="1">
      <c r="A168" s="43">
        <f>IF(ISERROR(SMALL('TAKIM KAYIT'!$A$6:$A$245,41)),"",SMALL('TAKIM KAYIT'!$A$6:$A$245,41))</f>
      </c>
      <c r="B168" s="123">
        <f>IF(A168="","",VLOOKUP(A168,'TAKIM KAYIT'!$A$6:$J$245,2,FALSE))</f>
      </c>
      <c r="C168" s="124">
        <f>IF(A168="","",VLOOKUP(A168,'TAKIM KAYIT'!$A$6:$J$245,3,FALSE))</f>
      </c>
      <c r="D168" s="125">
        <f>IF(ISERROR(VLOOKUP($C168,'START LİSTE'!$B$6:$F$1027,2,0)),"",VLOOKUP($C168,'START LİSTE'!$B$6:$F$1027,2,0))</f>
      </c>
      <c r="E168" s="126">
        <f>IF(ISERROR(VLOOKUP($C168,'START LİSTE'!$B$6:$F$1027,4,0)),"",VLOOKUP($C168,'START LİSTE'!$B$6:$F$1027,4,0))</f>
      </c>
      <c r="F168" s="127">
        <f>IF(ISERROR(VLOOKUP($C168,'FERDİ SONUÇ'!$B$6:$H$862,6,0)),"",VLOOKUP($C168,'FERDİ SONUÇ'!$B$6:$H$862,6,0))</f>
      </c>
      <c r="G168" s="131" t="str">
        <f>IF(OR(E168="",F168="DQ",F168="DNF",F168="DNS",F168=""),"-",VLOOKUP(C168,'FERDİ SONUÇ'!$B$6:$H$862,7,0))</f>
        <v>-</v>
      </c>
      <c r="H168" s="129">
        <f>IF(A168="","",VLOOKUP(A168,'TAKIM KAYIT'!$A$6:$K$245,10,FALSE))</f>
      </c>
    </row>
    <row r="169" spans="1:8" ht="14.25" customHeight="1">
      <c r="A169" s="122"/>
      <c r="B169" s="123"/>
      <c r="C169" s="124">
        <f>IF(A168="","",INDEX('TAKIM KAYIT'!$C$6:$C$245,MATCH(C168,'TAKIM KAYIT'!$C$6:$C$245,0)+1))</f>
      </c>
      <c r="D169" s="125">
        <f>IF(ISERROR(VLOOKUP($C169,'START LİSTE'!$B$6:$F$1027,2,0)),"",VLOOKUP($C169,'START LİSTE'!$B$6:$F$1027,2,0))</f>
      </c>
      <c r="E169" s="126">
        <f>IF(ISERROR(VLOOKUP($C169,'START LİSTE'!$B$6:$F$1027,4,0)),"",VLOOKUP($C169,'START LİSTE'!$B$6:$F$1027,4,0))</f>
      </c>
      <c r="F169" s="127">
        <f>IF(ISERROR(VLOOKUP($C169,'FERDİ SONUÇ'!$B$6:$H$862,6,0)),"",VLOOKUP($C169,'FERDİ SONUÇ'!$B$6:$H$862,6,0))</f>
      </c>
      <c r="G169" s="131" t="str">
        <f>IF(OR(E169="",F169="DQ",F169="DNF",F169="DNS",F169=""),"-",VLOOKUP(C169,'FERDİ SONUÇ'!$B$6:$H$862,7,0))</f>
        <v>-</v>
      </c>
      <c r="H169" s="129"/>
    </row>
    <row r="170" spans="1:8" ht="14.25" customHeight="1">
      <c r="A170" s="114"/>
      <c r="B170" s="115"/>
      <c r="C170" s="116">
        <f>IF(A172="","",INDEX('TAKIM KAYIT'!$C$6:$C$245,MATCH(C172,'TAKIM KAYIT'!$C$6:$C$245,0)-2))</f>
      </c>
      <c r="D170" s="117">
        <f>IF(ISERROR(VLOOKUP($C170,'START LİSTE'!$B$6:$F$1027,2,0)),"",VLOOKUP($C170,'START LİSTE'!$B$6:$F$1027,2,0))</f>
      </c>
      <c r="E170" s="118">
        <f>IF(ISERROR(VLOOKUP($C170,'START LİSTE'!$B$6:$F$1027,4,0)),"",VLOOKUP($C170,'START LİSTE'!$B$6:$F$1027,4,0))</f>
      </c>
      <c r="F170" s="119">
        <f>IF(ISERROR(VLOOKUP($C170,'FERDİ SONUÇ'!$B$6:$H$862,6,0)),"",VLOOKUP($C170,'FERDİ SONUÇ'!$B$6:$H$862,6,0))</f>
      </c>
      <c r="G170" s="130" t="str">
        <f>IF(OR(E170="",F170="DQ",F170="DNF",F170="DNS",F170=""),"-",VLOOKUP(C170,'FERDİ SONUÇ'!$B$6:$H$862,7,0))</f>
        <v>-</v>
      </c>
      <c r="H170" s="121"/>
    </row>
    <row r="171" spans="1:8" ht="14.25" customHeight="1">
      <c r="A171" s="122"/>
      <c r="B171" s="123"/>
      <c r="C171" s="124">
        <f>IF(A172="","",INDEX('TAKIM KAYIT'!$C$6:$C$245,MATCH(C172,'TAKIM KAYIT'!$C$6:$C$245,0)-1))</f>
      </c>
      <c r="D171" s="125">
        <f>IF(ISERROR(VLOOKUP($C171,'START LİSTE'!$B$6:$F$1027,2,0)),"",VLOOKUP($C171,'START LİSTE'!$B$6:$F$1027,2,0))</f>
      </c>
      <c r="E171" s="126">
        <f>IF(ISERROR(VLOOKUP($C171,'START LİSTE'!$B$6:$F$1027,4,0)),"",VLOOKUP($C171,'START LİSTE'!$B$6:$F$1027,4,0))</f>
      </c>
      <c r="F171" s="127">
        <f>IF(ISERROR(VLOOKUP($C171,'FERDİ SONUÇ'!$B$6:$H$862,6,0)),"",VLOOKUP($C171,'FERDİ SONUÇ'!$B$6:$H$862,6,0))</f>
      </c>
      <c r="G171" s="131" t="str">
        <f>IF(OR(E171="",F171="DQ",F171="DNF",F171="DNS",F171=""),"-",VLOOKUP(C171,'FERDİ SONUÇ'!$B$6:$H$862,7,0))</f>
        <v>-</v>
      </c>
      <c r="H171" s="129"/>
    </row>
    <row r="172" spans="1:8" ht="14.25" customHeight="1">
      <c r="A172" s="43">
        <f>IF(ISERROR(SMALL('TAKIM KAYIT'!$A$6:$A$245,42)),"",SMALL('TAKIM KAYIT'!$A$6:$A$245,42))</f>
      </c>
      <c r="B172" s="123">
        <f>IF(A172="","",VLOOKUP(A172,'TAKIM KAYIT'!$A$6:$J$245,2,FALSE))</f>
      </c>
      <c r="C172" s="124">
        <f>IF(A172="","",VLOOKUP(A172,'TAKIM KAYIT'!$A$6:$J$245,3,FALSE))</f>
      </c>
      <c r="D172" s="125">
        <f>IF(ISERROR(VLOOKUP($C172,'START LİSTE'!$B$6:$F$1027,2,0)),"",VLOOKUP($C172,'START LİSTE'!$B$6:$F$1027,2,0))</f>
      </c>
      <c r="E172" s="126">
        <f>IF(ISERROR(VLOOKUP($C172,'START LİSTE'!$B$6:$F$1027,4,0)),"",VLOOKUP($C172,'START LİSTE'!$B$6:$F$1027,4,0))</f>
      </c>
      <c r="F172" s="127">
        <f>IF(ISERROR(VLOOKUP($C172,'FERDİ SONUÇ'!$B$6:$H$862,6,0)),"",VLOOKUP($C172,'FERDİ SONUÇ'!$B$6:$H$862,6,0))</f>
      </c>
      <c r="G172" s="131" t="str">
        <f>IF(OR(E172="",F172="DQ",F172="DNF",F172="DNS",F172=""),"-",VLOOKUP(C172,'FERDİ SONUÇ'!$B$6:$H$862,7,0))</f>
        <v>-</v>
      </c>
      <c r="H172" s="129">
        <f>IF(A172="","",VLOOKUP(A172,'TAKIM KAYIT'!$A$6:$K$245,10,FALSE))</f>
      </c>
    </row>
    <row r="173" spans="1:8" ht="14.25" customHeight="1">
      <c r="A173" s="122"/>
      <c r="B173" s="123"/>
      <c r="C173" s="124">
        <f>IF(A172="","",INDEX('TAKIM KAYIT'!$C$6:$C$245,MATCH(C172,'TAKIM KAYIT'!$C$6:$C$245,0)+1))</f>
      </c>
      <c r="D173" s="125">
        <f>IF(ISERROR(VLOOKUP($C173,'START LİSTE'!$B$6:$F$1027,2,0)),"",VLOOKUP($C173,'START LİSTE'!$B$6:$F$1027,2,0))</f>
      </c>
      <c r="E173" s="126">
        <f>IF(ISERROR(VLOOKUP($C173,'START LİSTE'!$B$6:$F$1027,4,0)),"",VLOOKUP($C173,'START LİSTE'!$B$6:$F$1027,4,0))</f>
      </c>
      <c r="F173" s="127">
        <f>IF(ISERROR(VLOOKUP($C173,'FERDİ SONUÇ'!$B$6:$H$862,6,0)),"",VLOOKUP($C173,'FERDİ SONUÇ'!$B$6:$H$862,6,0))</f>
      </c>
      <c r="G173" s="131" t="str">
        <f>IF(OR(E173="",F173="DQ",F173="DNF",F173="DNS",F173=""),"-",VLOOKUP(C173,'FERDİ SONUÇ'!$B$6:$H$862,7,0))</f>
        <v>-</v>
      </c>
      <c r="H173" s="129"/>
    </row>
    <row r="174" spans="1:8" ht="14.25" customHeight="1">
      <c r="A174" s="114"/>
      <c r="B174" s="115"/>
      <c r="C174" s="116">
        <f>IF(A176="","",INDEX('TAKIM KAYIT'!$C$6:$C$245,MATCH(C176,'TAKIM KAYIT'!$C$6:$C$245,0)-2))</f>
      </c>
      <c r="D174" s="117">
        <f>IF(ISERROR(VLOOKUP($C174,'START LİSTE'!$B$6:$F$1027,2,0)),"",VLOOKUP($C174,'START LİSTE'!$B$6:$F$1027,2,0))</f>
      </c>
      <c r="E174" s="118">
        <f>IF(ISERROR(VLOOKUP($C174,'START LİSTE'!$B$6:$F$1027,4,0)),"",VLOOKUP($C174,'START LİSTE'!$B$6:$F$1027,4,0))</f>
      </c>
      <c r="F174" s="119">
        <f>IF(ISERROR(VLOOKUP($C174,'FERDİ SONUÇ'!$B$6:$H$862,6,0)),"",VLOOKUP($C174,'FERDİ SONUÇ'!$B$6:$H$862,6,0))</f>
      </c>
      <c r="G174" s="130" t="str">
        <f>IF(OR(E174="",F174="DQ",F174="DNF",F174="DNS",F174=""),"-",VLOOKUP(C174,'FERDİ SONUÇ'!$B$6:$H$862,7,0))</f>
        <v>-</v>
      </c>
      <c r="H174" s="121"/>
    </row>
    <row r="175" spans="1:8" ht="14.25" customHeight="1">
      <c r="A175" s="122"/>
      <c r="B175" s="123"/>
      <c r="C175" s="124">
        <f>IF(A176="","",INDEX('TAKIM KAYIT'!$C$6:$C$245,MATCH(C176,'TAKIM KAYIT'!$C$6:$C$245,0)-1))</f>
      </c>
      <c r="D175" s="125">
        <f>IF(ISERROR(VLOOKUP($C175,'START LİSTE'!$B$6:$F$1027,2,0)),"",VLOOKUP($C175,'START LİSTE'!$B$6:$F$1027,2,0))</f>
      </c>
      <c r="E175" s="126">
        <f>IF(ISERROR(VLOOKUP($C175,'START LİSTE'!$B$6:$F$1027,4,0)),"",VLOOKUP($C175,'START LİSTE'!$B$6:$F$1027,4,0))</f>
      </c>
      <c r="F175" s="127">
        <f>IF(ISERROR(VLOOKUP($C175,'FERDİ SONUÇ'!$B$6:$H$862,6,0)),"",VLOOKUP($C175,'FERDİ SONUÇ'!$B$6:$H$862,6,0))</f>
      </c>
      <c r="G175" s="131" t="str">
        <f>IF(OR(E175="",F175="DQ",F175="DNF",F175="DNS",F175=""),"-",VLOOKUP(C175,'FERDİ SONUÇ'!$B$6:$H$862,7,0))</f>
        <v>-</v>
      </c>
      <c r="H175" s="129"/>
    </row>
    <row r="176" spans="1:8" ht="14.25" customHeight="1">
      <c r="A176" s="43">
        <f>IF(ISERROR(SMALL('TAKIM KAYIT'!$A$6:$A$245,43)),"",SMALL('TAKIM KAYIT'!$A$6:$A$245,43))</f>
      </c>
      <c r="B176" s="123">
        <f>IF(A176="","",VLOOKUP(A176,'TAKIM KAYIT'!$A$6:$J$245,2,FALSE))</f>
      </c>
      <c r="C176" s="124">
        <f>IF(A176="","",VLOOKUP(A176,'TAKIM KAYIT'!$A$6:$J$245,3,FALSE))</f>
      </c>
      <c r="D176" s="125">
        <f>IF(ISERROR(VLOOKUP($C176,'START LİSTE'!$B$6:$F$1027,2,0)),"",VLOOKUP($C176,'START LİSTE'!$B$6:$F$1027,2,0))</f>
      </c>
      <c r="E176" s="126">
        <f>IF(ISERROR(VLOOKUP($C176,'START LİSTE'!$B$6:$F$1027,4,0)),"",VLOOKUP($C176,'START LİSTE'!$B$6:$F$1027,4,0))</f>
      </c>
      <c r="F176" s="127">
        <f>IF(ISERROR(VLOOKUP($C176,'FERDİ SONUÇ'!$B$6:$H$862,6,0)),"",VLOOKUP($C176,'FERDİ SONUÇ'!$B$6:$H$862,6,0))</f>
      </c>
      <c r="G176" s="131" t="str">
        <f>IF(OR(E176="",F176="DQ",F176="DNF",F176="DNS",F176=""),"-",VLOOKUP(C176,'FERDİ SONUÇ'!$B$6:$H$862,7,0))</f>
        <v>-</v>
      </c>
      <c r="H176" s="129">
        <f>IF(A176="","",VLOOKUP(A176,'TAKIM KAYIT'!$A$6:$K$245,10,FALSE))</f>
      </c>
    </row>
    <row r="177" spans="1:8" ht="14.25" customHeight="1">
      <c r="A177" s="122"/>
      <c r="B177" s="123"/>
      <c r="C177" s="124">
        <f>IF(A176="","",INDEX('TAKIM KAYIT'!$C$6:$C$245,MATCH(C176,'TAKIM KAYIT'!$C$6:$C$245,0)+1))</f>
      </c>
      <c r="D177" s="125">
        <f>IF(ISERROR(VLOOKUP($C177,'START LİSTE'!$B$6:$F$1027,2,0)),"",VLOOKUP($C177,'START LİSTE'!$B$6:$F$1027,2,0))</f>
      </c>
      <c r="E177" s="126">
        <f>IF(ISERROR(VLOOKUP($C177,'START LİSTE'!$B$6:$F$1027,4,0)),"",VLOOKUP($C177,'START LİSTE'!$B$6:$F$1027,4,0))</f>
      </c>
      <c r="F177" s="127">
        <f>IF(ISERROR(VLOOKUP($C177,'FERDİ SONUÇ'!$B$6:$H$862,6,0)),"",VLOOKUP($C177,'FERDİ SONUÇ'!$B$6:$H$862,6,0))</f>
      </c>
      <c r="G177" s="131" t="str">
        <f>IF(OR(E177="",F177="DQ",F177="DNF",F177="DNS",F177=""),"-",VLOOKUP(C177,'FERDİ SONUÇ'!$B$6:$H$862,7,0))</f>
        <v>-</v>
      </c>
      <c r="H177" s="129"/>
    </row>
    <row r="178" spans="1:8" ht="14.25" customHeight="1">
      <c r="A178" s="114"/>
      <c r="B178" s="115"/>
      <c r="C178" s="116">
        <f>IF(A180="","",INDEX('TAKIM KAYIT'!$C$6:$C$245,MATCH(C180,'TAKIM KAYIT'!$C$6:$C$245,0)-2))</f>
      </c>
      <c r="D178" s="117">
        <f>IF(ISERROR(VLOOKUP($C178,'START LİSTE'!$B$6:$F$1027,2,0)),"",VLOOKUP($C178,'START LİSTE'!$B$6:$F$1027,2,0))</f>
      </c>
      <c r="E178" s="118">
        <f>IF(ISERROR(VLOOKUP($C178,'START LİSTE'!$B$6:$F$1027,4,0)),"",VLOOKUP($C178,'START LİSTE'!$B$6:$F$1027,4,0))</f>
      </c>
      <c r="F178" s="119">
        <f>IF(ISERROR(VLOOKUP($C178,'FERDİ SONUÇ'!$B$6:$H$862,6,0)),"",VLOOKUP($C178,'FERDİ SONUÇ'!$B$6:$H$862,6,0))</f>
      </c>
      <c r="G178" s="130" t="str">
        <f>IF(OR(E178="",F178="DQ",F178="DNF",F178="DNS",F178=""),"-",VLOOKUP(C178,'FERDİ SONUÇ'!$B$6:$H$862,7,0))</f>
        <v>-</v>
      </c>
      <c r="H178" s="121"/>
    </row>
    <row r="179" spans="1:8" ht="14.25" customHeight="1">
      <c r="A179" s="122"/>
      <c r="B179" s="123"/>
      <c r="C179" s="124">
        <f>IF(A180="","",INDEX('TAKIM KAYIT'!$C$6:$C$245,MATCH(C180,'TAKIM KAYIT'!$C$6:$C$245,0)-1))</f>
      </c>
      <c r="D179" s="125">
        <f>IF(ISERROR(VLOOKUP($C179,'START LİSTE'!$B$6:$F$1027,2,0)),"",VLOOKUP($C179,'START LİSTE'!$B$6:$F$1027,2,0))</f>
      </c>
      <c r="E179" s="126">
        <f>IF(ISERROR(VLOOKUP($C179,'START LİSTE'!$B$6:$F$1027,4,0)),"",VLOOKUP($C179,'START LİSTE'!$B$6:$F$1027,4,0))</f>
      </c>
      <c r="F179" s="127">
        <f>IF(ISERROR(VLOOKUP($C179,'FERDİ SONUÇ'!$B$6:$H$862,6,0)),"",VLOOKUP($C179,'FERDİ SONUÇ'!$B$6:$H$862,6,0))</f>
      </c>
      <c r="G179" s="131" t="str">
        <f>IF(OR(E179="",F179="DQ",F179="DNF",F179="DNS",F179=""),"-",VLOOKUP(C179,'FERDİ SONUÇ'!$B$6:$H$862,7,0))</f>
        <v>-</v>
      </c>
      <c r="H179" s="129"/>
    </row>
    <row r="180" spans="1:8" ht="14.25" customHeight="1">
      <c r="A180" s="43">
        <f>IF(ISERROR(SMALL('TAKIM KAYIT'!$A$6:$A$245,44)),"",SMALL('TAKIM KAYIT'!$A$6:$A$245,44))</f>
      </c>
      <c r="B180" s="123">
        <f>IF(A180="","",VLOOKUP(A180,'TAKIM KAYIT'!$A$6:$J$245,2,FALSE))</f>
      </c>
      <c r="C180" s="124">
        <f>IF(A180="","",VLOOKUP(A180,'TAKIM KAYIT'!$A$6:$J$245,3,FALSE))</f>
      </c>
      <c r="D180" s="125">
        <f>IF(ISERROR(VLOOKUP($C180,'START LİSTE'!$B$6:$F$1027,2,0)),"",VLOOKUP($C180,'START LİSTE'!$B$6:$F$1027,2,0))</f>
      </c>
      <c r="E180" s="126">
        <f>IF(ISERROR(VLOOKUP($C180,'START LİSTE'!$B$6:$F$1027,4,0)),"",VLOOKUP($C180,'START LİSTE'!$B$6:$F$1027,4,0))</f>
      </c>
      <c r="F180" s="127">
        <f>IF(ISERROR(VLOOKUP($C180,'FERDİ SONUÇ'!$B$6:$H$862,6,0)),"",VLOOKUP($C180,'FERDİ SONUÇ'!$B$6:$H$862,6,0))</f>
      </c>
      <c r="G180" s="131" t="str">
        <f>IF(OR(E180="",F180="DQ",F180="DNF",F180="DNS",F180=""),"-",VLOOKUP(C180,'FERDİ SONUÇ'!$B$6:$H$862,7,0))</f>
        <v>-</v>
      </c>
      <c r="H180" s="129">
        <f>IF(A180="","",VLOOKUP(A180,'TAKIM KAYIT'!$A$6:$K$245,10,FALSE))</f>
      </c>
    </row>
    <row r="181" spans="1:8" ht="14.25" customHeight="1">
      <c r="A181" s="122"/>
      <c r="B181" s="123"/>
      <c r="C181" s="124">
        <f>IF(A180="","",INDEX('TAKIM KAYIT'!$C$6:$C$245,MATCH(C180,'TAKIM KAYIT'!$C$6:$C$245,0)+1))</f>
      </c>
      <c r="D181" s="125">
        <f>IF(ISERROR(VLOOKUP($C181,'START LİSTE'!$B$6:$F$1027,2,0)),"",VLOOKUP($C181,'START LİSTE'!$B$6:$F$1027,2,0))</f>
      </c>
      <c r="E181" s="126">
        <f>IF(ISERROR(VLOOKUP($C181,'START LİSTE'!$B$6:$F$1027,4,0)),"",VLOOKUP($C181,'START LİSTE'!$B$6:$F$1027,4,0))</f>
      </c>
      <c r="F181" s="127">
        <f>IF(ISERROR(VLOOKUP($C181,'FERDİ SONUÇ'!$B$6:$H$862,6,0)),"",VLOOKUP($C181,'FERDİ SONUÇ'!$B$6:$H$862,6,0))</f>
      </c>
      <c r="G181" s="131" t="str">
        <f>IF(OR(E181="",F181="DQ",F181="DNF",F181="DNS",F181=""),"-",VLOOKUP(C181,'FERDİ SONUÇ'!$B$6:$H$862,7,0))</f>
        <v>-</v>
      </c>
      <c r="H181" s="129"/>
    </row>
    <row r="182" spans="1:8" ht="14.25" customHeight="1">
      <c r="A182" s="114"/>
      <c r="B182" s="115"/>
      <c r="C182" s="116">
        <f>IF(A184="","",INDEX('TAKIM KAYIT'!$C$6:$C$245,MATCH(C184,'TAKIM KAYIT'!$C$6:$C$245,0)-2))</f>
      </c>
      <c r="D182" s="117">
        <f>IF(ISERROR(VLOOKUP($C182,'START LİSTE'!$B$6:$F$1027,2,0)),"",VLOOKUP($C182,'START LİSTE'!$B$6:$F$1027,2,0))</f>
      </c>
      <c r="E182" s="118">
        <f>IF(ISERROR(VLOOKUP($C182,'START LİSTE'!$B$6:$F$1027,4,0)),"",VLOOKUP($C182,'START LİSTE'!$B$6:$F$1027,4,0))</f>
      </c>
      <c r="F182" s="119">
        <f>IF(ISERROR(VLOOKUP($C182,'FERDİ SONUÇ'!$B$6:$H$862,6,0)),"",VLOOKUP($C182,'FERDİ SONUÇ'!$B$6:$H$862,6,0))</f>
      </c>
      <c r="G182" s="130" t="str">
        <f>IF(OR(E182="",F182="DQ",F182="DNF",F182="DNS",F182=""),"-",VLOOKUP(C182,'FERDİ SONUÇ'!$B$6:$H$862,7,0))</f>
        <v>-</v>
      </c>
      <c r="H182" s="121"/>
    </row>
    <row r="183" spans="1:8" ht="14.25" customHeight="1">
      <c r="A183" s="122"/>
      <c r="B183" s="123"/>
      <c r="C183" s="124">
        <f>IF(A184="","",INDEX('TAKIM KAYIT'!$C$6:$C$245,MATCH(C184,'TAKIM KAYIT'!$C$6:$C$245,0)-1))</f>
      </c>
      <c r="D183" s="125">
        <f>IF(ISERROR(VLOOKUP($C183,'START LİSTE'!$B$6:$F$1027,2,0)),"",VLOOKUP($C183,'START LİSTE'!$B$6:$F$1027,2,0))</f>
      </c>
      <c r="E183" s="126">
        <f>IF(ISERROR(VLOOKUP($C183,'START LİSTE'!$B$6:$F$1027,4,0)),"",VLOOKUP($C183,'START LİSTE'!$B$6:$F$1027,4,0))</f>
      </c>
      <c r="F183" s="127">
        <f>IF(ISERROR(VLOOKUP($C183,'FERDİ SONUÇ'!$B$6:$H$862,6,0)),"",VLOOKUP($C183,'FERDİ SONUÇ'!$B$6:$H$862,6,0))</f>
      </c>
      <c r="G183" s="131" t="str">
        <f>IF(OR(E183="",F183="DQ",F183="DNF",F183="DNS",F183=""),"-",VLOOKUP(C183,'FERDİ SONUÇ'!$B$6:$H$862,7,0))</f>
        <v>-</v>
      </c>
      <c r="H183" s="129"/>
    </row>
    <row r="184" spans="1:8" ht="14.25" customHeight="1">
      <c r="A184" s="43">
        <f>IF(ISERROR(SMALL('TAKIM KAYIT'!$A$6:$A$245,45)),"",SMALL('TAKIM KAYIT'!$A$6:$A$245,45))</f>
      </c>
      <c r="B184" s="123">
        <f>IF(A184="","",VLOOKUP(A184,'TAKIM KAYIT'!$A$6:$J$245,2,FALSE))</f>
      </c>
      <c r="C184" s="124">
        <f>IF(A184="","",VLOOKUP(A184,'TAKIM KAYIT'!$A$6:$J$245,3,FALSE))</f>
      </c>
      <c r="D184" s="125">
        <f>IF(ISERROR(VLOOKUP($C184,'START LİSTE'!$B$6:$F$1027,2,0)),"",VLOOKUP($C184,'START LİSTE'!$B$6:$F$1027,2,0))</f>
      </c>
      <c r="E184" s="126">
        <f>IF(ISERROR(VLOOKUP($C184,'START LİSTE'!$B$6:$F$1027,4,0)),"",VLOOKUP($C184,'START LİSTE'!$B$6:$F$1027,4,0))</f>
      </c>
      <c r="F184" s="127">
        <f>IF(ISERROR(VLOOKUP($C184,'FERDİ SONUÇ'!$B$6:$H$862,6,0)),"",VLOOKUP($C184,'FERDİ SONUÇ'!$B$6:$H$862,6,0))</f>
      </c>
      <c r="G184" s="131" t="str">
        <f>IF(OR(E184="",F184="DQ",F184="DNF",F184="DNS",F184=""),"-",VLOOKUP(C184,'FERDİ SONUÇ'!$B$6:$H$862,7,0))</f>
        <v>-</v>
      </c>
      <c r="H184" s="129">
        <f>IF(A184="","",VLOOKUP(A184,'TAKIM KAYIT'!$A$6:$K$245,10,FALSE))</f>
      </c>
    </row>
    <row r="185" spans="1:8" ht="14.25" customHeight="1">
      <c r="A185" s="122"/>
      <c r="B185" s="123"/>
      <c r="C185" s="124">
        <f>IF(A184="","",INDEX('TAKIM KAYIT'!$C$6:$C$245,MATCH(C184,'TAKIM KAYIT'!$C$6:$C$245,0)+1))</f>
      </c>
      <c r="D185" s="125">
        <f>IF(ISERROR(VLOOKUP($C185,'START LİSTE'!$B$6:$F$1027,2,0)),"",VLOOKUP($C185,'START LİSTE'!$B$6:$F$1027,2,0))</f>
      </c>
      <c r="E185" s="126">
        <f>IF(ISERROR(VLOOKUP($C185,'START LİSTE'!$B$6:$F$1027,4,0)),"",VLOOKUP($C185,'START LİSTE'!$B$6:$F$1027,4,0))</f>
      </c>
      <c r="F185" s="127">
        <f>IF(ISERROR(VLOOKUP($C185,'FERDİ SONUÇ'!$B$6:$H$862,6,0)),"",VLOOKUP($C185,'FERDİ SONUÇ'!$B$6:$H$862,6,0))</f>
      </c>
      <c r="G185" s="131" t="str">
        <f>IF(OR(E185="",F185="DQ",F185="DNF",F185="DNS",F185=""),"-",VLOOKUP(C185,'FERDİ SONUÇ'!$B$6:$H$862,7,0))</f>
        <v>-</v>
      </c>
      <c r="H185" s="129"/>
    </row>
    <row r="186" spans="1:8" ht="14.25" customHeight="1">
      <c r="A186" s="114"/>
      <c r="B186" s="115"/>
      <c r="C186" s="116">
        <f>IF(A188="","",INDEX('TAKIM KAYIT'!$C$6:$C$245,MATCH(C188,'TAKIM KAYIT'!$C$6:$C$245,0)-2))</f>
      </c>
      <c r="D186" s="117">
        <f>IF(ISERROR(VLOOKUP($C186,'START LİSTE'!$B$6:$F$1027,2,0)),"",VLOOKUP($C186,'START LİSTE'!$B$6:$F$1027,2,0))</f>
      </c>
      <c r="E186" s="118">
        <f>IF(ISERROR(VLOOKUP($C186,'START LİSTE'!$B$6:$F$1027,4,0)),"",VLOOKUP($C186,'START LİSTE'!$B$6:$F$1027,4,0))</f>
      </c>
      <c r="F186" s="119">
        <f>IF(ISERROR(VLOOKUP($C186,'FERDİ SONUÇ'!$B$6:$H$862,6,0)),"",VLOOKUP($C186,'FERDİ SONUÇ'!$B$6:$H$862,6,0))</f>
      </c>
      <c r="G186" s="130" t="str">
        <f>IF(OR(E186="",F186="DQ",F186="DNF",F186="DNS",F186=""),"-",VLOOKUP(C186,'FERDİ SONUÇ'!$B$6:$H$862,7,0))</f>
        <v>-</v>
      </c>
      <c r="H186" s="121"/>
    </row>
    <row r="187" spans="1:8" ht="14.25" customHeight="1">
      <c r="A187" s="122"/>
      <c r="B187" s="123"/>
      <c r="C187" s="124">
        <f>IF(A188="","",INDEX('TAKIM KAYIT'!$C$6:$C$245,MATCH(C188,'TAKIM KAYIT'!$C$6:$C$245,0)-1))</f>
      </c>
      <c r="D187" s="125">
        <f>IF(ISERROR(VLOOKUP($C187,'START LİSTE'!$B$6:$F$1027,2,0)),"",VLOOKUP($C187,'START LİSTE'!$B$6:$F$1027,2,0))</f>
      </c>
      <c r="E187" s="126">
        <f>IF(ISERROR(VLOOKUP($C187,'START LİSTE'!$B$6:$F$1027,4,0)),"",VLOOKUP($C187,'START LİSTE'!$B$6:$F$1027,4,0))</f>
      </c>
      <c r="F187" s="127">
        <f>IF(ISERROR(VLOOKUP($C187,'FERDİ SONUÇ'!$B$6:$H$862,6,0)),"",VLOOKUP($C187,'FERDİ SONUÇ'!$B$6:$H$862,6,0))</f>
      </c>
      <c r="G187" s="131" t="str">
        <f>IF(OR(E187="",F187="DQ",F187="DNF",F187="DNS",F187=""),"-",VLOOKUP(C187,'FERDİ SONUÇ'!$B$6:$H$862,7,0))</f>
        <v>-</v>
      </c>
      <c r="H187" s="129"/>
    </row>
    <row r="188" spans="1:8" ht="14.25" customHeight="1">
      <c r="A188" s="43">
        <f>IF(ISERROR(SMALL('TAKIM KAYIT'!$A$6:$A$245,46)),"",SMALL('TAKIM KAYIT'!$A$6:$A$245,46))</f>
      </c>
      <c r="B188" s="123">
        <f>IF(A188="","",VLOOKUP(A188,'TAKIM KAYIT'!$A$6:$J$245,2,FALSE))</f>
      </c>
      <c r="C188" s="124">
        <f>IF(A188="","",VLOOKUP(A188,'TAKIM KAYIT'!$A$6:$J$245,3,FALSE))</f>
      </c>
      <c r="D188" s="125">
        <f>IF(ISERROR(VLOOKUP($C188,'START LİSTE'!$B$6:$F$1027,2,0)),"",VLOOKUP($C188,'START LİSTE'!$B$6:$F$1027,2,0))</f>
      </c>
      <c r="E188" s="126">
        <f>IF(ISERROR(VLOOKUP($C188,'START LİSTE'!$B$6:$F$1027,4,0)),"",VLOOKUP($C188,'START LİSTE'!$B$6:$F$1027,4,0))</f>
      </c>
      <c r="F188" s="127">
        <f>IF(ISERROR(VLOOKUP($C188,'FERDİ SONUÇ'!$B$6:$H$862,6,0)),"",VLOOKUP($C188,'FERDİ SONUÇ'!$B$6:$H$862,6,0))</f>
      </c>
      <c r="G188" s="131" t="str">
        <f>IF(OR(E188="",F188="DQ",F188="DNF",F188="DNS",F188=""),"-",VLOOKUP(C188,'FERDİ SONUÇ'!$B$6:$H$862,7,0))</f>
        <v>-</v>
      </c>
      <c r="H188" s="129">
        <f>IF(A188="","",VLOOKUP(A188,'TAKIM KAYIT'!$A$6:$K$245,10,FALSE))</f>
      </c>
    </row>
    <row r="189" spans="1:8" ht="14.25" customHeight="1">
      <c r="A189" s="122"/>
      <c r="B189" s="123"/>
      <c r="C189" s="124">
        <f>IF(A188="","",INDEX('TAKIM KAYIT'!$C$6:$C$245,MATCH(C188,'TAKIM KAYIT'!$C$6:$C$245,0)+1))</f>
      </c>
      <c r="D189" s="125">
        <f>IF(ISERROR(VLOOKUP($C189,'START LİSTE'!$B$6:$F$1027,2,0)),"",VLOOKUP($C189,'START LİSTE'!$B$6:$F$1027,2,0))</f>
      </c>
      <c r="E189" s="126">
        <f>IF(ISERROR(VLOOKUP($C189,'START LİSTE'!$B$6:$F$1027,4,0)),"",VLOOKUP($C189,'START LİSTE'!$B$6:$F$1027,4,0))</f>
      </c>
      <c r="F189" s="127">
        <f>IF(ISERROR(VLOOKUP($C189,'FERDİ SONUÇ'!$B$6:$H$862,6,0)),"",VLOOKUP($C189,'FERDİ SONUÇ'!$B$6:$H$862,6,0))</f>
      </c>
      <c r="G189" s="131" t="str">
        <f>IF(OR(E189="",F189="DQ",F189="DNF",F189="DNS",F189=""),"-",VLOOKUP(C189,'FERDİ SONUÇ'!$B$6:$H$862,7,0))</f>
        <v>-</v>
      </c>
      <c r="H189" s="129"/>
    </row>
    <row r="190" spans="1:8" ht="14.25" customHeight="1">
      <c r="A190" s="114"/>
      <c r="B190" s="115"/>
      <c r="C190" s="116">
        <f>IF(A192="","",INDEX('TAKIM KAYIT'!$C$6:$C$245,MATCH(C192,'TAKIM KAYIT'!$C$6:$C$245,0)-2))</f>
      </c>
      <c r="D190" s="117">
        <f>IF(ISERROR(VLOOKUP($C190,'START LİSTE'!$B$6:$F$1027,2,0)),"",VLOOKUP($C190,'START LİSTE'!$B$6:$F$1027,2,0))</f>
      </c>
      <c r="E190" s="118">
        <f>IF(ISERROR(VLOOKUP($C190,'START LİSTE'!$B$6:$F$1027,4,0)),"",VLOOKUP($C190,'START LİSTE'!$B$6:$F$1027,4,0))</f>
      </c>
      <c r="F190" s="119">
        <f>IF(ISERROR(VLOOKUP($C190,'FERDİ SONUÇ'!$B$6:$H$862,6,0)),"",VLOOKUP($C190,'FERDİ SONUÇ'!$B$6:$H$862,6,0))</f>
      </c>
      <c r="G190" s="130" t="str">
        <f>IF(OR(E190="",F190="DQ",F190="DNF",F190="DNS",F190=""),"-",VLOOKUP(C190,'FERDİ SONUÇ'!$B$6:$H$862,7,0))</f>
        <v>-</v>
      </c>
      <c r="H190" s="121"/>
    </row>
    <row r="191" spans="1:8" ht="14.25" customHeight="1">
      <c r="A191" s="122"/>
      <c r="B191" s="123"/>
      <c r="C191" s="124">
        <f>IF(A192="","",INDEX('TAKIM KAYIT'!$C$6:$C$245,MATCH(C192,'TAKIM KAYIT'!$C$6:$C$245,0)-1))</f>
      </c>
      <c r="D191" s="125">
        <f>IF(ISERROR(VLOOKUP($C191,'START LİSTE'!$B$6:$F$1027,2,0)),"",VLOOKUP($C191,'START LİSTE'!$B$6:$F$1027,2,0))</f>
      </c>
      <c r="E191" s="126">
        <f>IF(ISERROR(VLOOKUP($C191,'START LİSTE'!$B$6:$F$1027,4,0)),"",VLOOKUP($C191,'START LİSTE'!$B$6:$F$1027,4,0))</f>
      </c>
      <c r="F191" s="127">
        <f>IF(ISERROR(VLOOKUP($C191,'FERDİ SONUÇ'!$B$6:$H$862,6,0)),"",VLOOKUP($C191,'FERDİ SONUÇ'!$B$6:$H$862,6,0))</f>
      </c>
      <c r="G191" s="131" t="str">
        <f>IF(OR(E191="",F191="DQ",F191="DNF",F191="DNS",F191=""),"-",VLOOKUP(C191,'FERDİ SONUÇ'!$B$6:$H$862,7,0))</f>
        <v>-</v>
      </c>
      <c r="H191" s="129"/>
    </row>
    <row r="192" spans="1:8" ht="14.25" customHeight="1">
      <c r="A192" s="43">
        <f>IF(ISERROR(SMALL('TAKIM KAYIT'!$A$6:$A$245,47)),"",SMALL('TAKIM KAYIT'!$A$6:$A$245,47))</f>
      </c>
      <c r="B192" s="123">
        <f>IF(A192="","",VLOOKUP(A192,'TAKIM KAYIT'!$A$6:$J$245,2,FALSE))</f>
      </c>
      <c r="C192" s="124">
        <f>IF(A192="","",VLOOKUP(A192,'TAKIM KAYIT'!$A$6:$J$245,3,FALSE))</f>
      </c>
      <c r="D192" s="125">
        <f>IF(ISERROR(VLOOKUP($C192,'START LİSTE'!$B$6:$F$1027,2,0)),"",VLOOKUP($C192,'START LİSTE'!$B$6:$F$1027,2,0))</f>
      </c>
      <c r="E192" s="126">
        <f>IF(ISERROR(VLOOKUP($C192,'START LİSTE'!$B$6:$F$1027,4,0)),"",VLOOKUP($C192,'START LİSTE'!$B$6:$F$1027,4,0))</f>
      </c>
      <c r="F192" s="127">
        <f>IF(ISERROR(VLOOKUP($C192,'FERDİ SONUÇ'!$B$6:$H$862,6,0)),"",VLOOKUP($C192,'FERDİ SONUÇ'!$B$6:$H$862,6,0))</f>
      </c>
      <c r="G192" s="131" t="str">
        <f>IF(OR(E192="",F192="DQ",F192="DNF",F192="DNS",F192=""),"-",VLOOKUP(C192,'FERDİ SONUÇ'!$B$6:$H$862,7,0))</f>
        <v>-</v>
      </c>
      <c r="H192" s="129">
        <f>IF(A192="","",VLOOKUP(A192,'TAKIM KAYIT'!$A$6:$K$245,10,FALSE))</f>
      </c>
    </row>
    <row r="193" spans="1:8" ht="14.25" customHeight="1">
      <c r="A193" s="122"/>
      <c r="B193" s="123"/>
      <c r="C193" s="124">
        <f>IF(A192="","",INDEX('TAKIM KAYIT'!$C$6:$C$245,MATCH(C192,'TAKIM KAYIT'!$C$6:$C$245,0)+1))</f>
      </c>
      <c r="D193" s="125">
        <f>IF(ISERROR(VLOOKUP($C193,'START LİSTE'!$B$6:$F$1027,2,0)),"",VLOOKUP($C193,'START LİSTE'!$B$6:$F$1027,2,0))</f>
      </c>
      <c r="E193" s="126">
        <f>IF(ISERROR(VLOOKUP($C193,'START LİSTE'!$B$6:$F$1027,4,0)),"",VLOOKUP($C193,'START LİSTE'!$B$6:$F$1027,4,0))</f>
      </c>
      <c r="F193" s="127">
        <f>IF(ISERROR(VLOOKUP($C193,'FERDİ SONUÇ'!$B$6:$H$862,6,0)),"",VLOOKUP($C193,'FERDİ SONUÇ'!$B$6:$H$862,6,0))</f>
      </c>
      <c r="G193" s="131" t="str">
        <f>IF(OR(E193="",F193="DQ",F193="DNF",F193="DNS",F193=""),"-",VLOOKUP(C193,'FERDİ SONUÇ'!$B$6:$H$862,7,0))</f>
        <v>-</v>
      </c>
      <c r="H193" s="129"/>
    </row>
    <row r="194" spans="1:8" ht="14.25" customHeight="1">
      <c r="A194" s="114"/>
      <c r="B194" s="115"/>
      <c r="C194" s="116">
        <f>IF(A196="","",INDEX('TAKIM KAYIT'!$C$6:$C$245,MATCH(C196,'TAKIM KAYIT'!$C$6:$C$245,0)-2))</f>
      </c>
      <c r="D194" s="117">
        <f>IF(ISERROR(VLOOKUP($C194,'START LİSTE'!$B$6:$F$1027,2,0)),"",VLOOKUP($C194,'START LİSTE'!$B$6:$F$1027,2,0))</f>
      </c>
      <c r="E194" s="118">
        <f>IF(ISERROR(VLOOKUP($C194,'START LİSTE'!$B$6:$F$1027,4,0)),"",VLOOKUP($C194,'START LİSTE'!$B$6:$F$1027,4,0))</f>
      </c>
      <c r="F194" s="119">
        <f>IF(ISERROR(VLOOKUP($C194,'FERDİ SONUÇ'!$B$6:$H$862,6,0)),"",VLOOKUP($C194,'FERDİ SONUÇ'!$B$6:$H$862,6,0))</f>
      </c>
      <c r="G194" s="130" t="str">
        <f>IF(OR(E194="",F194="DQ",F194="DNF",F194="DNS",F194=""),"-",VLOOKUP(C194,'FERDİ SONUÇ'!$B$6:$H$862,7,0))</f>
        <v>-</v>
      </c>
      <c r="H194" s="121"/>
    </row>
    <row r="195" spans="1:8" ht="14.25" customHeight="1">
      <c r="A195" s="122"/>
      <c r="B195" s="123"/>
      <c r="C195" s="124">
        <f>IF(A196="","",INDEX('TAKIM KAYIT'!$C$6:$C$245,MATCH(C196,'TAKIM KAYIT'!$C$6:$C$245,0)-1))</f>
      </c>
      <c r="D195" s="125">
        <f>IF(ISERROR(VLOOKUP($C195,'START LİSTE'!$B$6:$F$1027,2,0)),"",VLOOKUP($C195,'START LİSTE'!$B$6:$F$1027,2,0))</f>
      </c>
      <c r="E195" s="126">
        <f>IF(ISERROR(VLOOKUP($C195,'START LİSTE'!$B$6:$F$1027,4,0)),"",VLOOKUP($C195,'START LİSTE'!$B$6:$F$1027,4,0))</f>
      </c>
      <c r="F195" s="127">
        <f>IF(ISERROR(VLOOKUP($C195,'FERDİ SONUÇ'!$B$6:$H$862,6,0)),"",VLOOKUP($C195,'FERDİ SONUÇ'!$B$6:$H$862,6,0))</f>
      </c>
      <c r="G195" s="131" t="str">
        <f>IF(OR(E195="",F195="DQ",F195="DNF",F195="DNS",F195=""),"-",VLOOKUP(C195,'FERDİ SONUÇ'!$B$6:$H$862,7,0))</f>
        <v>-</v>
      </c>
      <c r="H195" s="129"/>
    </row>
    <row r="196" spans="1:8" ht="14.25" customHeight="1">
      <c r="A196" s="43">
        <f>IF(ISERROR(SMALL('TAKIM KAYIT'!$A$6:$A$245,48)),"",SMALL('TAKIM KAYIT'!$A$6:$A$245,48))</f>
      </c>
      <c r="B196" s="123">
        <f>IF(A196="","",VLOOKUP(A196,'TAKIM KAYIT'!$A$6:$J$245,2,FALSE))</f>
      </c>
      <c r="C196" s="124">
        <f>IF(A196="","",VLOOKUP(A196,'TAKIM KAYIT'!$A$6:$J$245,3,FALSE))</f>
      </c>
      <c r="D196" s="125">
        <f>IF(ISERROR(VLOOKUP($C196,'START LİSTE'!$B$6:$F$1027,2,0)),"",VLOOKUP($C196,'START LİSTE'!$B$6:$F$1027,2,0))</f>
      </c>
      <c r="E196" s="126">
        <f>IF(ISERROR(VLOOKUP($C196,'START LİSTE'!$B$6:$F$1027,4,0)),"",VLOOKUP($C196,'START LİSTE'!$B$6:$F$1027,4,0))</f>
      </c>
      <c r="F196" s="127">
        <f>IF(ISERROR(VLOOKUP($C196,'FERDİ SONUÇ'!$B$6:$H$862,6,0)),"",VLOOKUP($C196,'FERDİ SONUÇ'!$B$6:$H$862,6,0))</f>
      </c>
      <c r="G196" s="131" t="str">
        <f>IF(OR(E196="",F196="DQ",F196="DNF",F196="DNS",F196=""),"-",VLOOKUP(C196,'FERDİ SONUÇ'!$B$6:$H$862,7,0))</f>
        <v>-</v>
      </c>
      <c r="H196" s="129">
        <f>IF(A196="","",VLOOKUP(A196,'TAKIM KAYIT'!$A$6:$K$245,10,FALSE))</f>
      </c>
    </row>
    <row r="197" spans="1:8" ht="14.25" customHeight="1">
      <c r="A197" s="132"/>
      <c r="B197" s="133"/>
      <c r="C197" s="134">
        <f>IF(A196="","",INDEX('TAKIM KAYIT'!$C$6:$C$245,MATCH(C196,'TAKIM KAYIT'!$C$6:$C$245,0)+1))</f>
      </c>
      <c r="D197" s="135">
        <f>IF(ISERROR(VLOOKUP($C197,'START LİSTE'!$B$6:$F$1027,2,0)),"",VLOOKUP($C197,'START LİSTE'!$B$6:$F$1027,2,0))</f>
      </c>
      <c r="E197" s="136">
        <f>IF(ISERROR(VLOOKUP($C197,'START LİSTE'!$B$6:$F$1027,4,0)),"",VLOOKUP($C197,'START LİSTE'!$B$6:$F$1027,4,0))</f>
      </c>
      <c r="F197" s="137">
        <f>IF(ISERROR(VLOOKUP($C197,'FERDİ SONUÇ'!$B$6:$H$862,6,0)),"",VLOOKUP($C197,'FERDİ SONUÇ'!$B$6:$H$862,6,0))</f>
      </c>
      <c r="G197" s="138" t="str">
        <f>IF(OR(E197="",F197="DQ",F197="DNF",F197="DNS",F197=""),"-",VLOOKUP(C197,'FERDİ SONUÇ'!$B$6:$H$862,7,0))</f>
        <v>-</v>
      </c>
      <c r="H197" s="139"/>
    </row>
    <row r="198" spans="1:8" ht="14.25" customHeight="1">
      <c r="A198" s="114"/>
      <c r="B198" s="115"/>
      <c r="C198" s="116">
        <f>IF(A200="","",INDEX('TAKIM KAYIT'!$C$6:$C$245,MATCH(C200,'TAKIM KAYIT'!$C$6:$C$245,0)-2))</f>
      </c>
      <c r="D198" s="117">
        <f>IF(ISERROR(VLOOKUP($C198,'START LİSTE'!$B$6:$F$1027,2,0)),"",VLOOKUP($C198,'START LİSTE'!$B$6:$F$1027,2,0))</f>
      </c>
      <c r="E198" s="118">
        <f>IF(ISERROR(VLOOKUP($C198,'START LİSTE'!$B$6:$F$1027,4,0)),"",VLOOKUP($C198,'START LİSTE'!$B$6:$F$1027,4,0))</f>
      </c>
      <c r="F198" s="119">
        <f>IF(ISERROR(VLOOKUP($C198,'FERDİ SONUÇ'!$B$6:$H$862,6,0)),"",VLOOKUP($C198,'FERDİ SONUÇ'!$B$6:$H$862,6,0))</f>
      </c>
      <c r="G198" s="130" t="str">
        <f>IF(OR(E198="",F198="DQ",F198="DNF",F198="DNS",F198=""),"-",VLOOKUP(C198,'FERDİ SONUÇ'!$B$6:$H$862,7,0))</f>
        <v>-</v>
      </c>
      <c r="H198" s="121"/>
    </row>
    <row r="199" spans="1:8" ht="14.25" customHeight="1">
      <c r="A199" s="122"/>
      <c r="B199" s="123"/>
      <c r="C199" s="124">
        <f>IF(A200="","",INDEX('TAKIM KAYIT'!$C$6:$C$245,MATCH(C200,'TAKIM KAYIT'!$C$6:$C$245,0)-1))</f>
      </c>
      <c r="D199" s="125">
        <f>IF(ISERROR(VLOOKUP($C199,'START LİSTE'!$B$6:$F$1027,2,0)),"",VLOOKUP($C199,'START LİSTE'!$B$6:$F$1027,2,0))</f>
      </c>
      <c r="E199" s="126">
        <f>IF(ISERROR(VLOOKUP($C199,'START LİSTE'!$B$6:$F$1027,4,0)),"",VLOOKUP($C199,'START LİSTE'!$B$6:$F$1027,4,0))</f>
      </c>
      <c r="F199" s="127">
        <f>IF(ISERROR(VLOOKUP($C199,'FERDİ SONUÇ'!$B$6:$H$862,6,0)),"",VLOOKUP($C199,'FERDİ SONUÇ'!$B$6:$H$862,6,0))</f>
      </c>
      <c r="G199" s="131" t="str">
        <f>IF(OR(E199="",F199="DQ",F199="DNF",F199="DNS",F199=""),"-",VLOOKUP(C199,'FERDİ SONUÇ'!$B$6:$H$862,7,0))</f>
        <v>-</v>
      </c>
      <c r="H199" s="129"/>
    </row>
    <row r="200" spans="1:8" ht="14.25" customHeight="1">
      <c r="A200" s="43">
        <f>IF(ISERROR(SMALL('TAKIM KAYIT'!$A$6:$A$245,49)),"",SMALL('TAKIM KAYIT'!$A$6:$A$245,49))</f>
      </c>
      <c r="B200" s="123">
        <f>IF(A200="","",VLOOKUP(A200,'TAKIM KAYIT'!$A$6:$J$245,2,FALSE))</f>
      </c>
      <c r="C200" s="124">
        <f>IF(A200="","",VLOOKUP(A200,'TAKIM KAYIT'!$A$6:$J$245,3,FALSE))</f>
      </c>
      <c r="D200" s="125">
        <f>IF(ISERROR(VLOOKUP($C200,'START LİSTE'!$B$6:$F$1027,2,0)),"",VLOOKUP($C200,'START LİSTE'!$B$6:$F$1027,2,0))</f>
      </c>
      <c r="E200" s="126">
        <f>IF(ISERROR(VLOOKUP($C200,'START LİSTE'!$B$6:$F$1027,4,0)),"",VLOOKUP($C200,'START LİSTE'!$B$6:$F$1027,4,0))</f>
      </c>
      <c r="F200" s="127">
        <f>IF(ISERROR(VLOOKUP($C200,'FERDİ SONUÇ'!$B$6:$H$862,6,0)),"",VLOOKUP($C200,'FERDİ SONUÇ'!$B$6:$H$862,6,0))</f>
      </c>
      <c r="G200" s="131" t="str">
        <f>IF(OR(E200="",F200="DQ",F200="DNF",F200="DNS",F200=""),"-",VLOOKUP(C200,'FERDİ SONUÇ'!$B$6:$H$862,7,0))</f>
        <v>-</v>
      </c>
      <c r="H200" s="129">
        <f>IF(A200="","",VLOOKUP(A200,'TAKIM KAYIT'!$A$6:$K$245,10,FALSE))</f>
      </c>
    </row>
    <row r="201" spans="1:8" ht="14.25" customHeight="1">
      <c r="A201" s="122"/>
      <c r="B201" s="123"/>
      <c r="C201" s="124">
        <f>IF(A200="","",INDEX('TAKIM KAYIT'!$C$6:$C$245,MATCH(C200,'TAKIM KAYIT'!$C$6:$C$245,0)+1))</f>
      </c>
      <c r="D201" s="125">
        <f>IF(ISERROR(VLOOKUP($C201,'START LİSTE'!$B$6:$F$1027,2,0)),"",VLOOKUP($C201,'START LİSTE'!$B$6:$F$1027,2,0))</f>
      </c>
      <c r="E201" s="126">
        <f>IF(ISERROR(VLOOKUP($C201,'START LİSTE'!$B$6:$F$1027,4,0)),"",VLOOKUP($C201,'START LİSTE'!$B$6:$F$1027,4,0))</f>
      </c>
      <c r="F201" s="127">
        <f>IF(ISERROR(VLOOKUP($C201,'FERDİ SONUÇ'!$B$6:$H$862,6,0)),"",VLOOKUP($C201,'FERDİ SONUÇ'!$B$6:$H$862,6,0))</f>
      </c>
      <c r="G201" s="131" t="str">
        <f>IF(OR(E201="",F201="DQ",F201="DNF",F201="DNS",F201=""),"-",VLOOKUP(C201,'FERDİ SONUÇ'!$B$6:$H$862,7,0))</f>
        <v>-</v>
      </c>
      <c r="H201" s="129"/>
    </row>
    <row r="202" spans="1:8" ht="14.25" customHeight="1">
      <c r="A202" s="114"/>
      <c r="B202" s="115"/>
      <c r="C202" s="116">
        <f>IF(A204="","",INDEX('TAKIM KAYIT'!$C$6:$C$245,MATCH(C204,'TAKIM KAYIT'!$C$6:$C$245,0)-2))</f>
      </c>
      <c r="D202" s="117">
        <f>IF(ISERROR(VLOOKUP($C202,'START LİSTE'!$B$6:$F$1027,2,0)),"",VLOOKUP($C202,'START LİSTE'!$B$6:$F$1027,2,0))</f>
      </c>
      <c r="E202" s="118">
        <f>IF(ISERROR(VLOOKUP($C202,'START LİSTE'!$B$6:$F$1027,4,0)),"",VLOOKUP($C202,'START LİSTE'!$B$6:$F$1027,4,0))</f>
      </c>
      <c r="F202" s="119">
        <f>IF(ISERROR(VLOOKUP($C202,'FERDİ SONUÇ'!$B$6:$H$862,6,0)),"",VLOOKUP($C202,'FERDİ SONUÇ'!$B$6:$H$862,6,0))</f>
      </c>
      <c r="G202" s="130" t="str">
        <f>IF(OR(E202="",F202="DQ",F202="DNF",F202="DNS",F202=""),"-",VLOOKUP(C202,'FERDİ SONUÇ'!$B$6:$H$862,7,0))</f>
        <v>-</v>
      </c>
      <c r="H202" s="121"/>
    </row>
    <row r="203" spans="1:8" ht="14.25" customHeight="1">
      <c r="A203" s="122"/>
      <c r="B203" s="123"/>
      <c r="C203" s="124">
        <f>IF(A204="","",INDEX('TAKIM KAYIT'!$C$6:$C$245,MATCH(C204,'TAKIM KAYIT'!$C$6:$C$245,0)-1))</f>
      </c>
      <c r="D203" s="125">
        <f>IF(ISERROR(VLOOKUP($C203,'START LİSTE'!$B$6:$F$1027,2,0)),"",VLOOKUP($C203,'START LİSTE'!$B$6:$F$1027,2,0))</f>
      </c>
      <c r="E203" s="126">
        <f>IF(ISERROR(VLOOKUP($C203,'START LİSTE'!$B$6:$F$1027,4,0)),"",VLOOKUP($C203,'START LİSTE'!$B$6:$F$1027,4,0))</f>
      </c>
      <c r="F203" s="127">
        <f>IF(ISERROR(VLOOKUP($C203,'FERDİ SONUÇ'!$B$6:$H$862,6,0)),"",VLOOKUP($C203,'FERDİ SONUÇ'!$B$6:$H$862,6,0))</f>
      </c>
      <c r="G203" s="131" t="str">
        <f>IF(OR(E203="",F203="DQ",F203="DNF",F203="DNS",F203=""),"-",VLOOKUP(C203,'FERDİ SONUÇ'!$B$6:$H$862,7,0))</f>
        <v>-</v>
      </c>
      <c r="H203" s="129"/>
    </row>
    <row r="204" spans="1:8" ht="14.25" customHeight="1">
      <c r="A204" s="43">
        <f>IF(ISERROR(SMALL('TAKIM KAYIT'!$A$6:$A$245,50)),"",SMALL('TAKIM KAYIT'!$A$6:$A$245,50))</f>
      </c>
      <c r="B204" s="123">
        <f>IF(A204="","",VLOOKUP(A204,'TAKIM KAYIT'!$A$6:$J$245,2,FALSE))</f>
      </c>
      <c r="C204" s="124">
        <f>IF(A204="","",VLOOKUP(A204,'TAKIM KAYIT'!$A$6:$J$245,3,FALSE))</f>
      </c>
      <c r="D204" s="125">
        <f>IF(ISERROR(VLOOKUP($C204,'START LİSTE'!$B$6:$F$1027,2,0)),"",VLOOKUP($C204,'START LİSTE'!$B$6:$F$1027,2,0))</f>
      </c>
      <c r="E204" s="126">
        <f>IF(ISERROR(VLOOKUP($C204,'START LİSTE'!$B$6:$F$1027,4,0)),"",VLOOKUP($C204,'START LİSTE'!$B$6:$F$1027,4,0))</f>
      </c>
      <c r="F204" s="127">
        <f>IF(ISERROR(VLOOKUP($C204,'FERDİ SONUÇ'!$B$6:$H$862,6,0)),"",VLOOKUP($C204,'FERDİ SONUÇ'!$B$6:$H$862,6,0))</f>
      </c>
      <c r="G204" s="131" t="str">
        <f>IF(OR(E204="",F204="DQ",F204="DNF",F204="DNS",F204=""),"-",VLOOKUP(C204,'FERDİ SONUÇ'!$B$6:$H$862,7,0))</f>
        <v>-</v>
      </c>
      <c r="H204" s="129">
        <f>IF(A204="","",VLOOKUP(A204,'TAKIM KAYIT'!$A$6:$K$245,10,FALSE))</f>
      </c>
    </row>
    <row r="205" spans="1:8" ht="14.25" customHeight="1">
      <c r="A205" s="122"/>
      <c r="B205" s="123"/>
      <c r="C205" s="124">
        <f>IF(A204="","",INDEX('TAKIM KAYIT'!$C$6:$C$245,MATCH(C204,'TAKIM KAYIT'!$C$6:$C$245,0)+1))</f>
      </c>
      <c r="D205" s="125">
        <f>IF(ISERROR(VLOOKUP($C205,'START LİSTE'!$B$6:$F$1027,2,0)),"",VLOOKUP($C205,'START LİSTE'!$B$6:$F$1027,2,0))</f>
      </c>
      <c r="E205" s="126">
        <f>IF(ISERROR(VLOOKUP($C205,'START LİSTE'!$B$6:$F$1027,4,0)),"",VLOOKUP($C205,'START LİSTE'!$B$6:$F$1027,4,0))</f>
      </c>
      <c r="F205" s="127">
        <f>IF(ISERROR(VLOOKUP($C205,'FERDİ SONUÇ'!$B$6:$H$862,6,0)),"",VLOOKUP($C205,'FERDİ SONUÇ'!$B$6:$H$862,6,0))</f>
      </c>
      <c r="G205" s="131" t="str">
        <f>IF(OR(E205="",F205="DQ",F205="DNF",F205="DNS",F205=""),"-",VLOOKUP(C205,'FERDİ SONUÇ'!$B$6:$H$862,7,0))</f>
        <v>-</v>
      </c>
      <c r="H205" s="129"/>
    </row>
    <row r="206" spans="1:8" ht="14.25" customHeight="1">
      <c r="A206" s="114"/>
      <c r="B206" s="115"/>
      <c r="C206" s="116">
        <f>IF(A208="","",INDEX('TAKIM KAYIT'!$C$6:$C$245,MATCH(C208,'TAKIM KAYIT'!$C$6:$C$245,0)-2))</f>
      </c>
      <c r="D206" s="117">
        <f>IF(ISERROR(VLOOKUP($C206,'START LİSTE'!$B$6:$F$1027,2,0)),"",VLOOKUP($C206,'START LİSTE'!$B$6:$F$1027,2,0))</f>
      </c>
      <c r="E206" s="118">
        <f>IF(ISERROR(VLOOKUP($C206,'START LİSTE'!$B$6:$F$1027,4,0)),"",VLOOKUP($C206,'START LİSTE'!$B$6:$F$1027,4,0))</f>
      </c>
      <c r="F206" s="119">
        <f>IF(ISERROR(VLOOKUP($C206,'FERDİ SONUÇ'!$B$6:$H$862,6,0)),"",VLOOKUP($C206,'FERDİ SONUÇ'!$B$6:$H$862,6,0))</f>
      </c>
      <c r="G206" s="130" t="str">
        <f>IF(OR(E206="",F206="DQ",F206="DNF",F206="DNS",F206=""),"-",VLOOKUP(C206,'FERDİ SONUÇ'!$B$6:$H$862,7,0))</f>
        <v>-</v>
      </c>
      <c r="H206" s="121"/>
    </row>
    <row r="207" spans="1:8" ht="14.25" customHeight="1">
      <c r="A207" s="122"/>
      <c r="B207" s="123"/>
      <c r="C207" s="124">
        <f>IF(A208="","",INDEX('TAKIM KAYIT'!$C$6:$C$245,MATCH(C208,'TAKIM KAYIT'!$C$6:$C$245,0)-1))</f>
      </c>
      <c r="D207" s="125">
        <f>IF(ISERROR(VLOOKUP($C207,'START LİSTE'!$B$6:$F$1027,2,0)),"",VLOOKUP($C207,'START LİSTE'!$B$6:$F$1027,2,0))</f>
      </c>
      <c r="E207" s="126">
        <f>IF(ISERROR(VLOOKUP($C207,'START LİSTE'!$B$6:$F$1027,4,0)),"",VLOOKUP($C207,'START LİSTE'!$B$6:$F$1027,4,0))</f>
      </c>
      <c r="F207" s="127">
        <f>IF(ISERROR(VLOOKUP($C207,'FERDİ SONUÇ'!$B$6:$H$862,6,0)),"",VLOOKUP($C207,'FERDİ SONUÇ'!$B$6:$H$862,6,0))</f>
      </c>
      <c r="G207" s="131" t="str">
        <f>IF(OR(E207="",F207="DQ",F207="DNF",F207="DNS",F207=""),"-",VLOOKUP(C207,'FERDİ SONUÇ'!$B$6:$H$862,7,0))</f>
        <v>-</v>
      </c>
      <c r="H207" s="129"/>
    </row>
    <row r="208" spans="1:8" ht="14.25" customHeight="1">
      <c r="A208" s="43">
        <f>IF(ISERROR(SMALL('TAKIM KAYIT'!$A$6:$A$245,51)),"",SMALL('TAKIM KAYIT'!$A$6:$A$245,51))</f>
      </c>
      <c r="B208" s="123">
        <f>IF(A208="","",VLOOKUP(A208,'TAKIM KAYIT'!$A$6:$J$245,2,FALSE))</f>
      </c>
      <c r="C208" s="124">
        <f>IF(A208="","",VLOOKUP(A208,'TAKIM KAYIT'!$A$6:$J$245,3,FALSE))</f>
      </c>
      <c r="D208" s="125">
        <f>IF(ISERROR(VLOOKUP($C208,'START LİSTE'!$B$6:$F$1027,2,0)),"",VLOOKUP($C208,'START LİSTE'!$B$6:$F$1027,2,0))</f>
      </c>
      <c r="E208" s="126">
        <f>IF(ISERROR(VLOOKUP($C208,'START LİSTE'!$B$6:$F$1027,4,0)),"",VLOOKUP($C208,'START LİSTE'!$B$6:$F$1027,4,0))</f>
      </c>
      <c r="F208" s="127">
        <f>IF(ISERROR(VLOOKUP($C208,'FERDİ SONUÇ'!$B$6:$H$862,6,0)),"",VLOOKUP($C208,'FERDİ SONUÇ'!$B$6:$H$862,6,0))</f>
      </c>
      <c r="G208" s="131" t="str">
        <f>IF(OR(E208="",F208="DQ",F208="DNF",F208="DNS",F208=""),"-",VLOOKUP(C208,'FERDİ SONUÇ'!$B$6:$H$862,7,0))</f>
        <v>-</v>
      </c>
      <c r="H208" s="129">
        <f>IF(A208="","",VLOOKUP(A208,'TAKIM KAYIT'!$A$6:$J$245,10,FALSE))</f>
      </c>
    </row>
    <row r="209" spans="1:8" ht="14.25" customHeight="1">
      <c r="A209" s="122"/>
      <c r="B209" s="123"/>
      <c r="C209" s="124">
        <f>IF(A208="","",INDEX('TAKIM KAYIT'!$C$6:$C$245,MATCH(C208,'TAKIM KAYIT'!$C$6:$C$245,0)+1))</f>
      </c>
      <c r="D209" s="125">
        <f>IF(ISERROR(VLOOKUP($C209,'START LİSTE'!$B$6:$F$1027,2,0)),"",VLOOKUP($C209,'START LİSTE'!$B$6:$F$1027,2,0))</f>
      </c>
      <c r="E209" s="126">
        <f>IF(ISERROR(VLOOKUP($C209,'START LİSTE'!$B$6:$F$1027,4,0)),"",VLOOKUP($C209,'START LİSTE'!$B$6:$F$1027,4,0))</f>
      </c>
      <c r="F209" s="127">
        <f>IF(ISERROR(VLOOKUP($C209,'FERDİ SONUÇ'!$B$6:$H$862,6,0)),"",VLOOKUP($C209,'FERDİ SONUÇ'!$B$6:$H$862,6,0))</f>
      </c>
      <c r="G209" s="131" t="str">
        <f>IF(OR(E209="",F209="DQ",F209="DNF",F209="DNS",F209=""),"-",VLOOKUP(C209,'FERDİ SONUÇ'!$B$6:$H$862,7,0))</f>
        <v>-</v>
      </c>
      <c r="H209" s="129"/>
    </row>
    <row r="210" spans="1:8" ht="14.25" customHeight="1">
      <c r="A210" s="114"/>
      <c r="B210" s="115"/>
      <c r="C210" s="116">
        <f>IF(A212="","",INDEX('TAKIM KAYIT'!$C$6:$C$245,MATCH(C212,'TAKIM KAYIT'!$C$6:$C$245,0)-2))</f>
      </c>
      <c r="D210" s="117">
        <f>IF(ISERROR(VLOOKUP($C210,'START LİSTE'!$B$6:$F$1027,2,0)),"",VLOOKUP($C210,'START LİSTE'!$B$6:$F$1027,2,0))</f>
      </c>
      <c r="E210" s="118">
        <f>IF(ISERROR(VLOOKUP($C210,'START LİSTE'!$B$6:$F$1027,4,0)),"",VLOOKUP($C210,'START LİSTE'!$B$6:$F$1027,4,0))</f>
      </c>
      <c r="F210" s="119">
        <f>IF(ISERROR(VLOOKUP($C210,'FERDİ SONUÇ'!$B$6:$H$862,6,0)),"",VLOOKUP($C210,'FERDİ SONUÇ'!$B$6:$H$862,6,0))</f>
      </c>
      <c r="G210" s="130" t="str">
        <f>IF(OR(E210="",F210="DQ",F210="DNF",F210="DNS",F210=""),"-",VLOOKUP(C210,'FERDİ SONUÇ'!$B$6:$H$862,7,0))</f>
        <v>-</v>
      </c>
      <c r="H210" s="121"/>
    </row>
    <row r="211" spans="1:8" ht="14.25" customHeight="1">
      <c r="A211" s="122"/>
      <c r="B211" s="123"/>
      <c r="C211" s="124">
        <f>IF(A212="","",INDEX('TAKIM KAYIT'!$C$6:$C$245,MATCH(C212,'TAKIM KAYIT'!$C$6:$C$245,0)-1))</f>
      </c>
      <c r="D211" s="125">
        <f>IF(ISERROR(VLOOKUP($C211,'START LİSTE'!$B$6:$F$1027,2,0)),"",VLOOKUP($C211,'START LİSTE'!$B$6:$F$1027,2,0))</f>
      </c>
      <c r="E211" s="126">
        <f>IF(ISERROR(VLOOKUP($C211,'START LİSTE'!$B$6:$F$1027,4,0)),"",VLOOKUP($C211,'START LİSTE'!$B$6:$F$1027,4,0))</f>
      </c>
      <c r="F211" s="127">
        <f>IF(ISERROR(VLOOKUP($C211,'FERDİ SONUÇ'!$B$6:$H$862,6,0)),"",VLOOKUP($C211,'FERDİ SONUÇ'!$B$6:$H$862,6,0))</f>
      </c>
      <c r="G211" s="131" t="str">
        <f>IF(OR(E211="",F211="DQ",F211="DNF",F211="DNS",F211=""),"-",VLOOKUP(C211,'FERDİ SONUÇ'!$B$6:$H$862,7,0))</f>
        <v>-</v>
      </c>
      <c r="H211" s="129"/>
    </row>
    <row r="212" spans="1:8" ht="14.25" customHeight="1">
      <c r="A212" s="43">
        <f>IF(ISERROR(SMALL('TAKIM KAYIT'!$A$6:$A$245,52)),"",SMALL('TAKIM KAYIT'!$A$6:$A$245,52))</f>
      </c>
      <c r="B212" s="123">
        <f>IF(A212="","",VLOOKUP(A212,'TAKIM KAYIT'!$A$6:$J$245,2,FALSE))</f>
      </c>
      <c r="C212" s="124">
        <f>IF(A212="","",VLOOKUP(A212,'TAKIM KAYIT'!$A$6:$J$245,3,FALSE))</f>
      </c>
      <c r="D212" s="125">
        <f>IF(ISERROR(VLOOKUP($C212,'START LİSTE'!$B$6:$F$1027,2,0)),"",VLOOKUP($C212,'START LİSTE'!$B$6:$F$1027,2,0))</f>
      </c>
      <c r="E212" s="126">
        <f>IF(ISERROR(VLOOKUP($C212,'START LİSTE'!$B$6:$F$1027,4,0)),"",VLOOKUP($C212,'START LİSTE'!$B$6:$F$1027,4,0))</f>
      </c>
      <c r="F212" s="127">
        <f>IF(ISERROR(VLOOKUP($C212,'FERDİ SONUÇ'!$B$6:$H$862,6,0)),"",VLOOKUP($C212,'FERDİ SONUÇ'!$B$6:$H$862,6,0))</f>
      </c>
      <c r="G212" s="131" t="str">
        <f>IF(OR(E212="",F212="DQ",F212="DNF",F212="DNS",F212=""),"-",VLOOKUP(C212,'FERDİ SONUÇ'!$B$6:$H$862,7,0))</f>
        <v>-</v>
      </c>
      <c r="H212" s="129">
        <f>IF(A212="","",VLOOKUP(A212,'TAKIM KAYIT'!$A$6:$K$245,10,FALSE))</f>
      </c>
    </row>
    <row r="213" spans="1:8" ht="14.25" customHeight="1">
      <c r="A213" s="122"/>
      <c r="B213" s="123"/>
      <c r="C213" s="124">
        <f>IF(A212="","",INDEX('TAKIM KAYIT'!$C$6:$C$245,MATCH(C212,'TAKIM KAYIT'!$C$6:$C$245,0)+1))</f>
      </c>
      <c r="D213" s="125">
        <f>IF(ISERROR(VLOOKUP($C213,'START LİSTE'!$B$6:$F$1027,2,0)),"",VLOOKUP($C213,'START LİSTE'!$B$6:$F$1027,2,0))</f>
      </c>
      <c r="E213" s="126">
        <f>IF(ISERROR(VLOOKUP($C213,'START LİSTE'!$B$6:$F$1027,4,0)),"",VLOOKUP($C213,'START LİSTE'!$B$6:$F$1027,4,0))</f>
      </c>
      <c r="F213" s="127">
        <f>IF(ISERROR(VLOOKUP($C213,'FERDİ SONUÇ'!$B$6:$H$862,6,0)),"",VLOOKUP($C213,'FERDİ SONUÇ'!$B$6:$H$862,6,0))</f>
      </c>
      <c r="G213" s="131" t="str">
        <f>IF(OR(E213="",F213="DQ",F213="DNF",F213="DNS",F213=""),"-",VLOOKUP(C213,'FERDİ SONUÇ'!$B$6:$H$862,7,0))</f>
        <v>-</v>
      </c>
      <c r="H213" s="129"/>
    </row>
    <row r="214" spans="1:8" ht="14.25" customHeight="1">
      <c r="A214" s="114"/>
      <c r="B214" s="115"/>
      <c r="C214" s="116">
        <f>IF(A216="","",INDEX('TAKIM KAYIT'!$C$6:$C$245,MATCH(C216,'TAKIM KAYIT'!$C$6:$C$245,0)-2))</f>
      </c>
      <c r="D214" s="117">
        <f>IF(ISERROR(VLOOKUP($C214,'START LİSTE'!$B$6:$F$1027,2,0)),"",VLOOKUP($C214,'START LİSTE'!$B$6:$F$1027,2,0))</f>
      </c>
      <c r="E214" s="118">
        <f>IF(ISERROR(VLOOKUP($C214,'START LİSTE'!$B$6:$F$1027,4,0)),"",VLOOKUP($C214,'START LİSTE'!$B$6:$F$1027,4,0))</f>
      </c>
      <c r="F214" s="119">
        <f>IF(ISERROR(VLOOKUP($C214,'FERDİ SONUÇ'!$B$6:$H$862,6,0)),"",VLOOKUP($C214,'FERDİ SONUÇ'!$B$6:$H$862,6,0))</f>
      </c>
      <c r="G214" s="130" t="str">
        <f>IF(OR(E214="",F214="DQ",F214="DNF",F214="DNS",F214=""),"-",VLOOKUP(C214,'FERDİ SONUÇ'!$B$6:$H$862,7,0))</f>
        <v>-</v>
      </c>
      <c r="H214" s="121"/>
    </row>
    <row r="215" spans="1:8" ht="14.25" customHeight="1">
      <c r="A215" s="122"/>
      <c r="B215" s="123"/>
      <c r="C215" s="124">
        <f>IF(A216="","",INDEX('TAKIM KAYIT'!$C$6:$C$245,MATCH(C216,'TAKIM KAYIT'!$C$6:$C$245,0)-1))</f>
      </c>
      <c r="D215" s="125">
        <f>IF(ISERROR(VLOOKUP($C215,'START LİSTE'!$B$6:$F$1027,2,0)),"",VLOOKUP($C215,'START LİSTE'!$B$6:$F$1027,2,0))</f>
      </c>
      <c r="E215" s="126">
        <f>IF(ISERROR(VLOOKUP($C215,'START LİSTE'!$B$6:$F$1027,4,0)),"",VLOOKUP($C215,'START LİSTE'!$B$6:$F$1027,4,0))</f>
      </c>
      <c r="F215" s="127">
        <f>IF(ISERROR(VLOOKUP($C215,'FERDİ SONUÇ'!$B$6:$H$862,6,0)),"",VLOOKUP($C215,'FERDİ SONUÇ'!$B$6:$H$862,6,0))</f>
      </c>
      <c r="G215" s="131" t="str">
        <f>IF(OR(E215="",F215="DQ",F215="DNF",F215="DNS",F215=""),"-",VLOOKUP(C215,'FERDİ SONUÇ'!$B$6:$H$862,7,0))</f>
        <v>-</v>
      </c>
      <c r="H215" s="129"/>
    </row>
    <row r="216" spans="1:8" ht="14.25" customHeight="1">
      <c r="A216" s="43">
        <f>IF(ISERROR(SMALL('TAKIM KAYIT'!$A$6:$A$245,53)),"",SMALL('TAKIM KAYIT'!$A$6:$A$245,53))</f>
      </c>
      <c r="B216" s="123">
        <f>IF(A216="","",VLOOKUP(A216,'TAKIM KAYIT'!$A$6:$J$245,2,FALSE))</f>
      </c>
      <c r="C216" s="124">
        <f>IF(A216="","",VLOOKUP(A216,'TAKIM KAYIT'!$A$6:$J$245,3,FALSE))</f>
      </c>
      <c r="D216" s="125">
        <f>IF(ISERROR(VLOOKUP($C216,'START LİSTE'!$B$6:$F$1027,2,0)),"",VLOOKUP($C216,'START LİSTE'!$B$6:$F$1027,2,0))</f>
      </c>
      <c r="E216" s="126">
        <f>IF(ISERROR(VLOOKUP($C216,'START LİSTE'!$B$6:$F$1027,4,0)),"",VLOOKUP($C216,'START LİSTE'!$B$6:$F$1027,4,0))</f>
      </c>
      <c r="F216" s="127">
        <f>IF(ISERROR(VLOOKUP($C216,'FERDİ SONUÇ'!$B$6:$H$862,6,0)),"",VLOOKUP($C216,'FERDİ SONUÇ'!$B$6:$H$862,6,0))</f>
      </c>
      <c r="G216" s="131" t="str">
        <f>IF(OR(E216="",F216="DQ",F216="DNF",F216="DNS",F216=""),"-",VLOOKUP(C216,'FERDİ SONUÇ'!$B$6:$H$862,7,0))</f>
        <v>-</v>
      </c>
      <c r="H216" s="129">
        <f>IF(A216="","",VLOOKUP(A216,'TAKIM KAYIT'!$A$6:$K$245,10,FALSE))</f>
      </c>
    </row>
    <row r="217" spans="1:8" ht="14.25" customHeight="1">
      <c r="A217" s="122"/>
      <c r="B217" s="123"/>
      <c r="C217" s="124">
        <f>IF(A216="","",INDEX('TAKIM KAYIT'!$C$6:$C$245,MATCH(C216,'TAKIM KAYIT'!$C$6:$C$245,0)+1))</f>
      </c>
      <c r="D217" s="125">
        <f>IF(ISERROR(VLOOKUP($C217,'START LİSTE'!$B$6:$F$1027,2,0)),"",VLOOKUP($C217,'START LİSTE'!$B$6:$F$1027,2,0))</f>
      </c>
      <c r="E217" s="126">
        <f>IF(ISERROR(VLOOKUP($C217,'START LİSTE'!$B$6:$F$1027,4,0)),"",VLOOKUP($C217,'START LİSTE'!$B$6:$F$1027,4,0))</f>
      </c>
      <c r="F217" s="127">
        <f>IF(ISERROR(VLOOKUP($C217,'FERDİ SONUÇ'!$B$6:$H$862,6,0)),"",VLOOKUP($C217,'FERDİ SONUÇ'!$B$6:$H$862,6,0))</f>
      </c>
      <c r="G217" s="131" t="str">
        <f>IF(OR(E217="",F217="DQ",F217="DNF",F217="DNS",F217=""),"-",VLOOKUP(C217,'FERDİ SONUÇ'!$B$6:$H$862,7,0))</f>
        <v>-</v>
      </c>
      <c r="H217" s="129"/>
    </row>
    <row r="218" spans="1:8" ht="14.25" customHeight="1">
      <c r="A218" s="114"/>
      <c r="B218" s="115"/>
      <c r="C218" s="116">
        <f>IF(A220="","",INDEX('TAKIM KAYIT'!$C$6:$C$245,MATCH(C220,'TAKIM KAYIT'!$C$6:$C$245,0)-2))</f>
      </c>
      <c r="D218" s="117">
        <f>IF(ISERROR(VLOOKUP($C218,'START LİSTE'!$B$6:$F$1027,2,0)),"",VLOOKUP($C218,'START LİSTE'!$B$6:$F$1027,2,0))</f>
      </c>
      <c r="E218" s="118">
        <f>IF(ISERROR(VLOOKUP($C218,'START LİSTE'!$B$6:$F$1027,4,0)),"",VLOOKUP($C218,'START LİSTE'!$B$6:$F$1027,4,0))</f>
      </c>
      <c r="F218" s="119">
        <f>IF(ISERROR(VLOOKUP($C218,'FERDİ SONUÇ'!$B$6:$H$862,6,0)),"",VLOOKUP($C218,'FERDİ SONUÇ'!$B$6:$H$862,6,0))</f>
      </c>
      <c r="G218" s="130" t="str">
        <f>IF(OR(E218="",F218="DQ",F218="DNF",F218="DNS",F218=""),"-",VLOOKUP(C218,'FERDİ SONUÇ'!$B$6:$H$862,7,0))</f>
        <v>-</v>
      </c>
      <c r="H218" s="121"/>
    </row>
    <row r="219" spans="1:8" ht="14.25" customHeight="1">
      <c r="A219" s="122"/>
      <c r="B219" s="123"/>
      <c r="C219" s="124">
        <f>IF(A220="","",INDEX('TAKIM KAYIT'!$C$6:$C$245,MATCH(C220,'TAKIM KAYIT'!$C$6:$C$245,0)-1))</f>
      </c>
      <c r="D219" s="125">
        <f>IF(ISERROR(VLOOKUP($C219,'START LİSTE'!$B$6:$F$1027,2,0)),"",VLOOKUP($C219,'START LİSTE'!$B$6:$F$1027,2,0))</f>
      </c>
      <c r="E219" s="126">
        <f>IF(ISERROR(VLOOKUP($C219,'START LİSTE'!$B$6:$F$1027,4,0)),"",VLOOKUP($C219,'START LİSTE'!$B$6:$F$1027,4,0))</f>
      </c>
      <c r="F219" s="127">
        <f>IF(ISERROR(VLOOKUP($C219,'FERDİ SONUÇ'!$B$6:$H$862,6,0)),"",VLOOKUP($C219,'FERDİ SONUÇ'!$B$6:$H$862,6,0))</f>
      </c>
      <c r="G219" s="131" t="str">
        <f>IF(OR(E219="",F219="DQ",F219="DNF",F219="DNS",F219=""),"-",VLOOKUP(C219,'FERDİ SONUÇ'!$B$6:$H$862,7,0))</f>
        <v>-</v>
      </c>
      <c r="H219" s="129"/>
    </row>
    <row r="220" spans="1:8" ht="14.25" customHeight="1">
      <c r="A220" s="43">
        <f>IF(ISERROR(SMALL('TAKIM KAYIT'!$A$6:$A$245,54)),"",SMALL('TAKIM KAYIT'!$A$6:$A$245,54))</f>
      </c>
      <c r="B220" s="123">
        <f>IF(A220="","",VLOOKUP(A220,'TAKIM KAYIT'!$A$6:$J$245,2,FALSE))</f>
      </c>
      <c r="C220" s="124">
        <f>IF(A220="","",VLOOKUP(A220,'TAKIM KAYIT'!$A$6:$J$245,3,FALSE))</f>
      </c>
      <c r="D220" s="125">
        <f>IF(ISERROR(VLOOKUP($C220,'START LİSTE'!$B$6:$F$1027,2,0)),"",VLOOKUP($C220,'START LİSTE'!$B$6:$F$1027,2,0))</f>
      </c>
      <c r="E220" s="126">
        <f>IF(ISERROR(VLOOKUP($C220,'START LİSTE'!$B$6:$F$1027,4,0)),"",VLOOKUP($C220,'START LİSTE'!$B$6:$F$1027,4,0))</f>
      </c>
      <c r="F220" s="127">
        <f>IF(ISERROR(VLOOKUP($C220,'FERDİ SONUÇ'!$B$6:$H$862,6,0)),"",VLOOKUP($C220,'FERDİ SONUÇ'!$B$6:$H$862,6,0))</f>
      </c>
      <c r="G220" s="131" t="str">
        <f>IF(OR(E220="",F220="DQ",F220="DNF",F220="DNS",F220=""),"-",VLOOKUP(C220,'FERDİ SONUÇ'!$B$6:$H$862,7,0))</f>
        <v>-</v>
      </c>
      <c r="H220" s="129">
        <f>IF(A220="","",VLOOKUP(A220,'TAKIM KAYIT'!$A$6:$K$245,10,FALSE))</f>
      </c>
    </row>
    <row r="221" spans="1:8" ht="14.25" customHeight="1">
      <c r="A221" s="122"/>
      <c r="B221" s="123"/>
      <c r="C221" s="124">
        <f>IF(A220="","",INDEX('TAKIM KAYIT'!$C$6:$C$245,MATCH(C220,'TAKIM KAYIT'!$C$6:$C$245,0)+1))</f>
      </c>
      <c r="D221" s="125">
        <f>IF(ISERROR(VLOOKUP($C221,'START LİSTE'!$B$6:$F$1027,2,0)),"",VLOOKUP($C221,'START LİSTE'!$B$6:$F$1027,2,0))</f>
      </c>
      <c r="E221" s="126">
        <f>IF(ISERROR(VLOOKUP($C221,'START LİSTE'!$B$6:$F$1027,4,0)),"",VLOOKUP($C221,'START LİSTE'!$B$6:$F$1027,4,0))</f>
      </c>
      <c r="F221" s="127">
        <f>IF(ISERROR(VLOOKUP($C221,'FERDİ SONUÇ'!$B$6:$H$862,6,0)),"",VLOOKUP($C221,'FERDİ SONUÇ'!$B$6:$H$862,6,0))</f>
      </c>
      <c r="G221" s="131" t="str">
        <f>IF(OR(E221="",F221="DQ",F221="DNF",F221="DNS",F221=""),"-",VLOOKUP(C221,'FERDİ SONUÇ'!$B$6:$H$862,7,0))</f>
        <v>-</v>
      </c>
      <c r="H221" s="129"/>
    </row>
    <row r="222" spans="1:8" ht="14.25" customHeight="1">
      <c r="A222" s="114"/>
      <c r="B222" s="115"/>
      <c r="C222" s="116">
        <f>IF(A224="","",INDEX('TAKIM KAYIT'!$C$6:$C$245,MATCH(C224,'TAKIM KAYIT'!$C$6:$C$245,0)-2))</f>
      </c>
      <c r="D222" s="117">
        <f>IF(ISERROR(VLOOKUP($C222,'START LİSTE'!$B$6:$F$1027,2,0)),"",VLOOKUP($C222,'START LİSTE'!$B$6:$F$1027,2,0))</f>
      </c>
      <c r="E222" s="118">
        <f>IF(ISERROR(VLOOKUP($C222,'START LİSTE'!$B$6:$F$1027,4,0)),"",VLOOKUP($C222,'START LİSTE'!$B$6:$F$1027,4,0))</f>
      </c>
      <c r="F222" s="119">
        <f>IF(ISERROR(VLOOKUP($C222,'FERDİ SONUÇ'!$B$6:$H$862,6,0)),"",VLOOKUP($C222,'FERDİ SONUÇ'!$B$6:$H$862,6,0))</f>
      </c>
      <c r="G222" s="130" t="str">
        <f>IF(OR(E222="",F222="DQ",F222="DNF",F222="DNS",F222=""),"-",VLOOKUP(C222,'FERDİ SONUÇ'!$B$6:$H$862,7,0))</f>
        <v>-</v>
      </c>
      <c r="H222" s="121"/>
    </row>
    <row r="223" spans="1:8" ht="14.25" customHeight="1">
      <c r="A223" s="122"/>
      <c r="B223" s="123"/>
      <c r="C223" s="124">
        <f>IF(A224="","",INDEX('TAKIM KAYIT'!$C$6:$C$245,MATCH(C224,'TAKIM KAYIT'!$C$6:$C$245,0)-1))</f>
      </c>
      <c r="D223" s="125">
        <f>IF(ISERROR(VLOOKUP($C223,'START LİSTE'!$B$6:$F$1027,2,0)),"",VLOOKUP($C223,'START LİSTE'!$B$6:$F$1027,2,0))</f>
      </c>
      <c r="E223" s="126">
        <f>IF(ISERROR(VLOOKUP($C223,'START LİSTE'!$B$6:$F$1027,4,0)),"",VLOOKUP($C223,'START LİSTE'!$B$6:$F$1027,4,0))</f>
      </c>
      <c r="F223" s="127">
        <f>IF(ISERROR(VLOOKUP($C223,'FERDİ SONUÇ'!$B$6:$H$862,6,0)),"",VLOOKUP($C223,'FERDİ SONUÇ'!$B$6:$H$862,6,0))</f>
      </c>
      <c r="G223" s="131" t="str">
        <f>IF(OR(E223="",F223="DQ",F223="DNF",F223="DNS",F223=""),"-",VLOOKUP(C223,'FERDİ SONUÇ'!$B$6:$H$862,7,0))</f>
        <v>-</v>
      </c>
      <c r="H223" s="129"/>
    </row>
    <row r="224" spans="1:8" ht="14.25" customHeight="1">
      <c r="A224" s="43">
        <f>IF(ISERROR(SMALL('TAKIM KAYIT'!$A$6:$A$245,55)),"",SMALL('TAKIM KAYIT'!$A$6:$A$245,55))</f>
      </c>
      <c r="B224" s="123">
        <f>IF(A224="","",VLOOKUP(A224,'TAKIM KAYIT'!$A$6:$J$245,2,FALSE))</f>
      </c>
      <c r="C224" s="124">
        <f>IF(A224="","",VLOOKUP(A224,'TAKIM KAYIT'!$A$6:$J$245,3,FALSE))</f>
      </c>
      <c r="D224" s="125">
        <f>IF(ISERROR(VLOOKUP($C224,'START LİSTE'!$B$6:$F$1027,2,0)),"",VLOOKUP($C224,'START LİSTE'!$B$6:$F$1027,2,0))</f>
      </c>
      <c r="E224" s="126">
        <f>IF(ISERROR(VLOOKUP($C224,'START LİSTE'!$B$6:$F$1027,4,0)),"",VLOOKUP($C224,'START LİSTE'!$B$6:$F$1027,4,0))</f>
      </c>
      <c r="F224" s="127">
        <f>IF(ISERROR(VLOOKUP($C224,'FERDİ SONUÇ'!$B$6:$H$862,6,0)),"",VLOOKUP($C224,'FERDİ SONUÇ'!$B$6:$H$862,6,0))</f>
      </c>
      <c r="G224" s="131" t="str">
        <f>IF(OR(E224="",F224="DQ",F224="DNF",F224="DNS",F224=""),"-",VLOOKUP(C224,'FERDİ SONUÇ'!$B$6:$H$862,7,0))</f>
        <v>-</v>
      </c>
      <c r="H224" s="129">
        <f>IF(A224="","",VLOOKUP(A224,'TAKIM KAYIT'!$A$6:$K$245,10,FALSE))</f>
      </c>
    </row>
    <row r="225" spans="1:8" ht="14.25" customHeight="1">
      <c r="A225" s="122"/>
      <c r="B225" s="123"/>
      <c r="C225" s="124">
        <f>IF(A224="","",INDEX('TAKIM KAYIT'!$C$6:$C$245,MATCH(C224,'TAKIM KAYIT'!$C$6:$C$245,0)+1))</f>
      </c>
      <c r="D225" s="125">
        <f>IF(ISERROR(VLOOKUP($C225,'START LİSTE'!$B$6:$F$1027,2,0)),"",VLOOKUP($C225,'START LİSTE'!$B$6:$F$1027,2,0))</f>
      </c>
      <c r="E225" s="126">
        <f>IF(ISERROR(VLOOKUP($C225,'START LİSTE'!$B$6:$F$1027,4,0)),"",VLOOKUP($C225,'START LİSTE'!$B$6:$F$1027,4,0))</f>
      </c>
      <c r="F225" s="127">
        <f>IF(ISERROR(VLOOKUP($C225,'FERDİ SONUÇ'!$B$6:$H$862,6,0)),"",VLOOKUP($C225,'FERDİ SONUÇ'!$B$6:$H$862,6,0))</f>
      </c>
      <c r="G225" s="131" t="str">
        <f>IF(OR(E225="",F225="DQ",F225="DNF",F225="DNS",F225=""),"-",VLOOKUP(C225,'FERDİ SONUÇ'!$B$6:$H$862,7,0))</f>
        <v>-</v>
      </c>
      <c r="H225" s="129"/>
    </row>
    <row r="226" spans="1:8" ht="14.25" customHeight="1">
      <c r="A226" s="114"/>
      <c r="B226" s="115"/>
      <c r="C226" s="116">
        <f>IF(A228="","",INDEX('TAKIM KAYIT'!$C$6:$C$245,MATCH(C228,'TAKIM KAYIT'!$C$6:$C$245,0)-2))</f>
      </c>
      <c r="D226" s="117">
        <f>IF(ISERROR(VLOOKUP($C226,'START LİSTE'!$B$6:$F$1027,2,0)),"",VLOOKUP($C226,'START LİSTE'!$B$6:$F$1027,2,0))</f>
      </c>
      <c r="E226" s="118">
        <f>IF(ISERROR(VLOOKUP($C226,'START LİSTE'!$B$6:$F$1027,4,0)),"",VLOOKUP($C226,'START LİSTE'!$B$6:$F$1027,4,0))</f>
      </c>
      <c r="F226" s="119">
        <f>IF(ISERROR(VLOOKUP($C226,'FERDİ SONUÇ'!$B$6:$H$862,6,0)),"",VLOOKUP($C226,'FERDİ SONUÇ'!$B$6:$H$862,6,0))</f>
      </c>
      <c r="G226" s="130" t="str">
        <f>IF(OR(E226="",F226="DQ",F226="DNF",F226="DNS",F226=""),"-",VLOOKUP(C226,'FERDİ SONUÇ'!$B$6:$H$862,7,0))</f>
        <v>-</v>
      </c>
      <c r="H226" s="121"/>
    </row>
    <row r="227" spans="1:8" ht="14.25" customHeight="1">
      <c r="A227" s="122"/>
      <c r="B227" s="123"/>
      <c r="C227" s="124">
        <f>IF(A228="","",INDEX('TAKIM KAYIT'!$C$6:$C$245,MATCH(C228,'TAKIM KAYIT'!$C$6:$C$245,0)-1))</f>
      </c>
      <c r="D227" s="125">
        <f>IF(ISERROR(VLOOKUP($C227,'START LİSTE'!$B$6:$F$1027,2,0)),"",VLOOKUP($C227,'START LİSTE'!$B$6:$F$1027,2,0))</f>
      </c>
      <c r="E227" s="126">
        <f>IF(ISERROR(VLOOKUP($C227,'START LİSTE'!$B$6:$F$1027,4,0)),"",VLOOKUP($C227,'START LİSTE'!$B$6:$F$1027,4,0))</f>
      </c>
      <c r="F227" s="127">
        <f>IF(ISERROR(VLOOKUP($C227,'FERDİ SONUÇ'!$B$6:$H$862,6,0)),"",VLOOKUP($C227,'FERDİ SONUÇ'!$B$6:$H$862,6,0))</f>
      </c>
      <c r="G227" s="131" t="str">
        <f>IF(OR(E227="",F227="DQ",F227="DNF",F227="DNS",F227=""),"-",VLOOKUP(C227,'FERDİ SONUÇ'!$B$6:$H$862,7,0))</f>
        <v>-</v>
      </c>
      <c r="H227" s="129"/>
    </row>
    <row r="228" spans="1:8" ht="14.25" customHeight="1">
      <c r="A228" s="43">
        <f>IF(ISERROR(SMALL('TAKIM KAYIT'!$A$6:$A$245,56)),"",SMALL('TAKIM KAYIT'!$A$6:$A$245,56))</f>
      </c>
      <c r="B228" s="123">
        <f>IF(A228="","",VLOOKUP(A228,'TAKIM KAYIT'!$A$6:$J$245,2,FALSE))</f>
      </c>
      <c r="C228" s="124">
        <f>IF(A228="","",VLOOKUP(A228,'TAKIM KAYIT'!$A$6:$J$245,3,FALSE))</f>
      </c>
      <c r="D228" s="125">
        <f>IF(ISERROR(VLOOKUP($C228,'START LİSTE'!$B$6:$F$1027,2,0)),"",VLOOKUP($C228,'START LİSTE'!$B$6:$F$1027,2,0))</f>
      </c>
      <c r="E228" s="126">
        <f>IF(ISERROR(VLOOKUP($C228,'START LİSTE'!$B$6:$F$1027,4,0)),"",VLOOKUP($C228,'START LİSTE'!$B$6:$F$1027,4,0))</f>
      </c>
      <c r="F228" s="127">
        <f>IF(ISERROR(VLOOKUP($C228,'FERDİ SONUÇ'!$B$6:$H$862,6,0)),"",VLOOKUP($C228,'FERDİ SONUÇ'!$B$6:$H$862,6,0))</f>
      </c>
      <c r="G228" s="131" t="str">
        <f>IF(OR(E228="",F228="DQ",F228="DNF",F228="DNS",F228=""),"-",VLOOKUP(C228,'FERDİ SONUÇ'!$B$6:$H$862,7,0))</f>
        <v>-</v>
      </c>
      <c r="H228" s="129">
        <f>IF(A228="","",VLOOKUP(A228,'TAKIM KAYIT'!$A$6:$K$245,10,FALSE))</f>
      </c>
    </row>
    <row r="229" spans="1:8" ht="14.25" customHeight="1">
      <c r="A229" s="122"/>
      <c r="B229" s="123"/>
      <c r="C229" s="124">
        <f>IF(A228="","",INDEX('TAKIM KAYIT'!$C$6:$C$245,MATCH(C228,'TAKIM KAYIT'!$C$6:$C$245,0)+1))</f>
      </c>
      <c r="D229" s="125">
        <f>IF(ISERROR(VLOOKUP($C229,'START LİSTE'!$B$6:$F$1027,2,0)),"",VLOOKUP($C229,'START LİSTE'!$B$6:$F$1027,2,0))</f>
      </c>
      <c r="E229" s="126">
        <f>IF(ISERROR(VLOOKUP($C229,'START LİSTE'!$B$6:$F$1027,4,0)),"",VLOOKUP($C229,'START LİSTE'!$B$6:$F$1027,4,0))</f>
      </c>
      <c r="F229" s="127">
        <f>IF(ISERROR(VLOOKUP($C229,'FERDİ SONUÇ'!$B$6:$H$862,6,0)),"",VLOOKUP($C229,'FERDİ SONUÇ'!$B$6:$H$862,6,0))</f>
      </c>
      <c r="G229" s="131" t="str">
        <f>IF(OR(E229="",F229="DQ",F229="DNF",F229="DNS",F229=""),"-",VLOOKUP(C229,'FERDİ SONUÇ'!$B$6:$H$862,7,0))</f>
        <v>-</v>
      </c>
      <c r="H229" s="129"/>
    </row>
    <row r="230" spans="1:8" ht="14.25" customHeight="1">
      <c r="A230" s="114"/>
      <c r="B230" s="115"/>
      <c r="C230" s="116">
        <f>IF(A232="","",INDEX('TAKIM KAYIT'!$C$6:$C$245,MATCH(C232,'TAKIM KAYIT'!$C$6:$C$245,0)-2))</f>
      </c>
      <c r="D230" s="117">
        <f>IF(ISERROR(VLOOKUP($C230,'START LİSTE'!$B$6:$F$1027,2,0)),"",VLOOKUP($C230,'START LİSTE'!$B$6:$F$1027,2,0))</f>
      </c>
      <c r="E230" s="118">
        <f>IF(ISERROR(VLOOKUP($C230,'START LİSTE'!$B$6:$F$1027,4,0)),"",VLOOKUP($C230,'START LİSTE'!$B$6:$F$1027,4,0))</f>
      </c>
      <c r="F230" s="119">
        <f>IF(ISERROR(VLOOKUP($C230,'FERDİ SONUÇ'!$B$6:$H$862,6,0)),"",VLOOKUP($C230,'FERDİ SONUÇ'!$B$6:$H$862,6,0))</f>
      </c>
      <c r="G230" s="130" t="str">
        <f>IF(OR(E230="",F230="DQ",F230="DNF",F230="DNS",F230=""),"-",VLOOKUP(C230,'FERDİ SONUÇ'!$B$6:$H$862,7,0))</f>
        <v>-</v>
      </c>
      <c r="H230" s="121"/>
    </row>
    <row r="231" spans="1:8" ht="14.25" customHeight="1">
      <c r="A231" s="122"/>
      <c r="B231" s="123"/>
      <c r="C231" s="124">
        <f>IF(A232="","",INDEX('TAKIM KAYIT'!$C$6:$C$245,MATCH(C232,'TAKIM KAYIT'!$C$6:$C$245,0)-1))</f>
      </c>
      <c r="D231" s="125">
        <f>IF(ISERROR(VLOOKUP($C231,'START LİSTE'!$B$6:$F$1027,2,0)),"",VLOOKUP($C231,'START LİSTE'!$B$6:$F$1027,2,0))</f>
      </c>
      <c r="E231" s="126">
        <f>IF(ISERROR(VLOOKUP($C231,'START LİSTE'!$B$6:$F$1027,4,0)),"",VLOOKUP($C231,'START LİSTE'!$B$6:$F$1027,4,0))</f>
      </c>
      <c r="F231" s="127">
        <f>IF(ISERROR(VLOOKUP($C231,'FERDİ SONUÇ'!$B$6:$H$862,6,0)),"",VLOOKUP($C231,'FERDİ SONUÇ'!$B$6:$H$862,6,0))</f>
      </c>
      <c r="G231" s="131" t="str">
        <f>IF(OR(E231="",F231="DQ",F231="DNF",F231="DNS",F231=""),"-",VLOOKUP(C231,'FERDİ SONUÇ'!$B$6:$H$862,7,0))</f>
        <v>-</v>
      </c>
      <c r="H231" s="129"/>
    </row>
    <row r="232" spans="1:8" ht="14.25" customHeight="1">
      <c r="A232" s="43">
        <f>IF(ISERROR(SMALL('TAKIM KAYIT'!$A$6:$A$245,57)),"",SMALL('TAKIM KAYIT'!$A$6:$A$245,57))</f>
      </c>
      <c r="B232" s="123">
        <f>IF(A232="","",VLOOKUP(A232,'TAKIM KAYIT'!$A$6:$J$245,2,FALSE))</f>
      </c>
      <c r="C232" s="124">
        <f>IF(A232="","",VLOOKUP(A232,'TAKIM KAYIT'!$A$6:$J$245,3,FALSE))</f>
      </c>
      <c r="D232" s="125">
        <f>IF(ISERROR(VLOOKUP($C232,'START LİSTE'!$B$6:$F$1027,2,0)),"",VLOOKUP($C232,'START LİSTE'!$B$6:$F$1027,2,0))</f>
      </c>
      <c r="E232" s="126">
        <f>IF(ISERROR(VLOOKUP($C232,'START LİSTE'!$B$6:$F$1027,4,0)),"",VLOOKUP($C232,'START LİSTE'!$B$6:$F$1027,4,0))</f>
      </c>
      <c r="F232" s="127">
        <f>IF(ISERROR(VLOOKUP($C232,'FERDİ SONUÇ'!$B$6:$H$862,6,0)),"",VLOOKUP($C232,'FERDİ SONUÇ'!$B$6:$H$862,6,0))</f>
      </c>
      <c r="G232" s="131" t="str">
        <f>IF(OR(E232="",F232="DQ",F232="DNF",F232="DNS",F232=""),"-",VLOOKUP(C232,'FERDİ SONUÇ'!$B$6:$H$862,7,0))</f>
        <v>-</v>
      </c>
      <c r="H232" s="129">
        <f>IF(A232="","",VLOOKUP(A232,'TAKIM KAYIT'!$A$6:$K$245,10,FALSE))</f>
      </c>
    </row>
    <row r="233" spans="1:8" ht="14.25" customHeight="1">
      <c r="A233" s="122"/>
      <c r="B233" s="123"/>
      <c r="C233" s="124">
        <f>IF(A232="","",INDEX('TAKIM KAYIT'!$C$6:$C$245,MATCH(C232,'TAKIM KAYIT'!$C$6:$C$245,0)+1))</f>
      </c>
      <c r="D233" s="125">
        <f>IF(ISERROR(VLOOKUP($C233,'START LİSTE'!$B$6:$F$1027,2,0)),"",VLOOKUP($C233,'START LİSTE'!$B$6:$F$1027,2,0))</f>
      </c>
      <c r="E233" s="126">
        <f>IF(ISERROR(VLOOKUP($C233,'START LİSTE'!$B$6:$F$1027,4,0)),"",VLOOKUP($C233,'START LİSTE'!$B$6:$F$1027,4,0))</f>
      </c>
      <c r="F233" s="127">
        <f>IF(ISERROR(VLOOKUP($C233,'FERDİ SONUÇ'!$B$6:$H$862,6,0)),"",VLOOKUP($C233,'FERDİ SONUÇ'!$B$6:$H$862,6,0))</f>
      </c>
      <c r="G233" s="131" t="str">
        <f>IF(OR(E233="",F233="DQ",F233="DNF",F233="DNS",F233=""),"-",VLOOKUP(C233,'FERDİ SONUÇ'!$B$6:$H$862,7,0))</f>
        <v>-</v>
      </c>
      <c r="H233" s="129"/>
    </row>
    <row r="234" spans="1:8" ht="14.25" customHeight="1">
      <c r="A234" s="114"/>
      <c r="B234" s="115"/>
      <c r="C234" s="116">
        <f>IF(A236="","",INDEX('TAKIM KAYIT'!$C$6:$C$245,MATCH(C236,'TAKIM KAYIT'!$C$6:$C$245,0)-2))</f>
      </c>
      <c r="D234" s="117">
        <f>IF(ISERROR(VLOOKUP($C234,'START LİSTE'!$B$6:$F$1027,2,0)),"",VLOOKUP($C234,'START LİSTE'!$B$6:$F$1027,2,0))</f>
      </c>
      <c r="E234" s="118">
        <f>IF(ISERROR(VLOOKUP($C234,'START LİSTE'!$B$6:$F$1027,4,0)),"",VLOOKUP($C234,'START LİSTE'!$B$6:$F$1027,4,0))</f>
      </c>
      <c r="F234" s="119">
        <f>IF(ISERROR(VLOOKUP($C234,'FERDİ SONUÇ'!$B$6:$H$862,6,0)),"",VLOOKUP($C234,'FERDİ SONUÇ'!$B$6:$H$862,6,0))</f>
      </c>
      <c r="G234" s="130" t="str">
        <f>IF(OR(E234="",F234="DQ",F234="DNF",F234="DNS",F234=""),"-",VLOOKUP(C234,'FERDİ SONUÇ'!$B$6:$H$862,7,0))</f>
        <v>-</v>
      </c>
      <c r="H234" s="121"/>
    </row>
    <row r="235" spans="1:8" ht="14.25" customHeight="1">
      <c r="A235" s="122"/>
      <c r="B235" s="123"/>
      <c r="C235" s="124">
        <f>IF(A236="","",INDEX('TAKIM KAYIT'!$C$6:$C$245,MATCH(C236,'TAKIM KAYIT'!$C$6:$C$245,0)-1))</f>
      </c>
      <c r="D235" s="125">
        <f>IF(ISERROR(VLOOKUP($C235,'START LİSTE'!$B$6:$F$1027,2,0)),"",VLOOKUP($C235,'START LİSTE'!$B$6:$F$1027,2,0))</f>
      </c>
      <c r="E235" s="126">
        <f>IF(ISERROR(VLOOKUP($C235,'START LİSTE'!$B$6:$F$1027,4,0)),"",VLOOKUP($C235,'START LİSTE'!$B$6:$F$1027,4,0))</f>
      </c>
      <c r="F235" s="127">
        <f>IF(ISERROR(VLOOKUP($C235,'FERDİ SONUÇ'!$B$6:$H$862,6,0)),"",VLOOKUP($C235,'FERDİ SONUÇ'!$B$6:$H$862,6,0))</f>
      </c>
      <c r="G235" s="131" t="str">
        <f>IF(OR(E235="",F235="DQ",F235="DNF",F235="DNS",F235=""),"-",VLOOKUP(C235,'FERDİ SONUÇ'!$B$6:$H$862,7,0))</f>
        <v>-</v>
      </c>
      <c r="H235" s="129"/>
    </row>
    <row r="236" spans="1:8" ht="14.25" customHeight="1">
      <c r="A236" s="43">
        <f>IF(ISERROR(SMALL('TAKIM KAYIT'!$A$6:$A$245,58)),"",SMALL('TAKIM KAYIT'!$A$6:$A$245,58))</f>
      </c>
      <c r="B236" s="123">
        <f>IF(A236="","",VLOOKUP(A236,'TAKIM KAYIT'!$A$6:$J$245,2,FALSE))</f>
      </c>
      <c r="C236" s="124">
        <f>IF(A236="","",VLOOKUP(A236,'TAKIM KAYIT'!$A$6:$J$245,3,FALSE))</f>
      </c>
      <c r="D236" s="125">
        <f>IF(ISERROR(VLOOKUP($C236,'START LİSTE'!$B$6:$F$1027,2,0)),"",VLOOKUP($C236,'START LİSTE'!$B$6:$F$1027,2,0))</f>
      </c>
      <c r="E236" s="126">
        <f>IF(ISERROR(VLOOKUP($C236,'START LİSTE'!$B$6:$F$1027,4,0)),"",VLOOKUP($C236,'START LİSTE'!$B$6:$F$1027,4,0))</f>
      </c>
      <c r="F236" s="127">
        <f>IF(ISERROR(VLOOKUP($C236,'FERDİ SONUÇ'!$B$6:$H$862,6,0)),"",VLOOKUP($C236,'FERDİ SONUÇ'!$B$6:$H$862,6,0))</f>
      </c>
      <c r="G236" s="131" t="str">
        <f>IF(OR(E236="",F236="DQ",F236="DNF",F236="DNS",F236=""),"-",VLOOKUP(C236,'FERDİ SONUÇ'!$B$6:$H$862,7,0))</f>
        <v>-</v>
      </c>
      <c r="H236" s="129">
        <f>IF(A236="","",VLOOKUP(A236,'TAKIM KAYIT'!$A$6:$K$245,10,FALSE))</f>
      </c>
    </row>
    <row r="237" spans="1:8" ht="14.25" customHeight="1">
      <c r="A237" s="122"/>
      <c r="B237" s="123"/>
      <c r="C237" s="124">
        <f>IF(A236="","",INDEX('TAKIM KAYIT'!$C$6:$C$245,MATCH(C236,'TAKIM KAYIT'!$C$6:$C$245,0)+1))</f>
      </c>
      <c r="D237" s="125">
        <f>IF(ISERROR(VLOOKUP($C237,'START LİSTE'!$B$6:$F$1027,2,0)),"",VLOOKUP($C237,'START LİSTE'!$B$6:$F$1027,2,0))</f>
      </c>
      <c r="E237" s="126">
        <f>IF(ISERROR(VLOOKUP($C237,'START LİSTE'!$B$6:$F$1027,4,0)),"",VLOOKUP($C237,'START LİSTE'!$B$6:$F$1027,4,0))</f>
      </c>
      <c r="F237" s="127">
        <f>IF(ISERROR(VLOOKUP($C237,'FERDİ SONUÇ'!$B$6:$H$862,6,0)),"",VLOOKUP($C237,'FERDİ SONUÇ'!$B$6:$H$862,6,0))</f>
      </c>
      <c r="G237" s="131" t="str">
        <f>IF(OR(E237="",F237="DQ",F237="DNF",F237="DNS",F237=""),"-",VLOOKUP(C237,'FERDİ SONUÇ'!$B$6:$H$862,7,0))</f>
        <v>-</v>
      </c>
      <c r="H237" s="129"/>
    </row>
    <row r="238" spans="1:8" ht="14.25" customHeight="1">
      <c r="A238" s="114"/>
      <c r="B238" s="115"/>
      <c r="C238" s="116">
        <f>IF(A240="","",INDEX('TAKIM KAYIT'!$C$6:$C$245,MATCH(C240,'TAKIM KAYIT'!$C$6:$C$245,0)-2))</f>
      </c>
      <c r="D238" s="117">
        <f>IF(ISERROR(VLOOKUP($C238,'START LİSTE'!$B$6:$F$1027,2,0)),"",VLOOKUP($C238,'START LİSTE'!$B$6:$F$1027,2,0))</f>
      </c>
      <c r="E238" s="118">
        <f>IF(ISERROR(VLOOKUP($C238,'START LİSTE'!$B$6:$F$1027,4,0)),"",VLOOKUP($C238,'START LİSTE'!$B$6:$F$1027,4,0))</f>
      </c>
      <c r="F238" s="119">
        <f>IF(ISERROR(VLOOKUP($C238,'FERDİ SONUÇ'!$B$6:$H$862,6,0)),"",VLOOKUP($C238,'FERDİ SONUÇ'!$B$6:$H$862,6,0))</f>
      </c>
      <c r="G238" s="130" t="str">
        <f>IF(OR(E238="",F238="DQ",F238="DNF",F238="DNS",F238=""),"-",VLOOKUP(C238,'FERDİ SONUÇ'!$B$6:$H$862,7,0))</f>
        <v>-</v>
      </c>
      <c r="H238" s="121"/>
    </row>
    <row r="239" spans="1:8" ht="14.25" customHeight="1">
      <c r="A239" s="122"/>
      <c r="B239" s="123"/>
      <c r="C239" s="124">
        <f>IF(A240="","",INDEX('TAKIM KAYIT'!$C$6:$C$245,MATCH(C240,'TAKIM KAYIT'!$C$6:$C$245,0)-1))</f>
      </c>
      <c r="D239" s="125">
        <f>IF(ISERROR(VLOOKUP($C239,'START LİSTE'!$B$6:$F$1027,2,0)),"",VLOOKUP($C239,'START LİSTE'!$B$6:$F$1027,2,0))</f>
      </c>
      <c r="E239" s="126">
        <f>IF(ISERROR(VLOOKUP($C239,'START LİSTE'!$B$6:$F$1027,4,0)),"",VLOOKUP($C239,'START LİSTE'!$B$6:$F$1027,4,0))</f>
      </c>
      <c r="F239" s="127">
        <f>IF(ISERROR(VLOOKUP($C239,'FERDİ SONUÇ'!$B$6:$H$862,6,0)),"",VLOOKUP($C239,'FERDİ SONUÇ'!$B$6:$H$862,6,0))</f>
      </c>
      <c r="G239" s="131" t="str">
        <f>IF(OR(E239="",F239="DQ",F239="DNF",F239="DNS",F239=""),"-",VLOOKUP(C239,'FERDİ SONUÇ'!$B$6:$H$862,7,0))</f>
        <v>-</v>
      </c>
      <c r="H239" s="129"/>
    </row>
    <row r="240" spans="1:8" ht="14.25" customHeight="1">
      <c r="A240" s="43">
        <f>IF(ISERROR(SMALL('TAKIM KAYIT'!$A$6:$A$245,59)),"",SMALL('TAKIM KAYIT'!$A$6:$A$245,59))</f>
      </c>
      <c r="B240" s="123">
        <f>IF(A240="","",VLOOKUP(A240,'TAKIM KAYIT'!$A$6:$J$245,2,FALSE))</f>
      </c>
      <c r="C240" s="124">
        <f>IF(A240="","",VLOOKUP(A240,'TAKIM KAYIT'!$A$6:$J$245,3,FALSE))</f>
      </c>
      <c r="D240" s="125">
        <f>IF(ISERROR(VLOOKUP($C240,'START LİSTE'!$B$6:$F$1027,2,0)),"",VLOOKUP($C240,'START LİSTE'!$B$6:$F$1027,2,0))</f>
      </c>
      <c r="E240" s="126">
        <f>IF(ISERROR(VLOOKUP($C240,'START LİSTE'!$B$6:$F$1027,4,0)),"",VLOOKUP($C240,'START LİSTE'!$B$6:$F$1027,4,0))</f>
      </c>
      <c r="F240" s="127">
        <f>IF(ISERROR(VLOOKUP($C240,'FERDİ SONUÇ'!$B$6:$H$862,6,0)),"",VLOOKUP($C240,'FERDİ SONUÇ'!$B$6:$H$862,6,0))</f>
      </c>
      <c r="G240" s="131" t="str">
        <f>IF(OR(E240="",F240="DQ",F240="DNF",F240="DNS",F240=""),"-",VLOOKUP(C240,'FERDİ SONUÇ'!$B$6:$H$862,7,0))</f>
        <v>-</v>
      </c>
      <c r="H240" s="129">
        <f>IF(A240="","",VLOOKUP(A240,'TAKIM KAYIT'!$A$6:$K$245,10,FALSE))</f>
      </c>
    </row>
    <row r="241" spans="1:8" ht="14.25" customHeight="1">
      <c r="A241" s="122"/>
      <c r="B241" s="123"/>
      <c r="C241" s="124">
        <f>IF(A240="","",INDEX('TAKIM KAYIT'!$C$6:$C$245,MATCH(C240,'TAKIM KAYIT'!$C$6:$C$245,0)+1))</f>
      </c>
      <c r="D241" s="125">
        <f>IF(ISERROR(VLOOKUP($C241,'START LİSTE'!$B$6:$F$1027,2,0)),"",VLOOKUP($C241,'START LİSTE'!$B$6:$F$1027,2,0))</f>
      </c>
      <c r="E241" s="126">
        <f>IF(ISERROR(VLOOKUP($C241,'START LİSTE'!$B$6:$F$1027,4,0)),"",VLOOKUP($C241,'START LİSTE'!$B$6:$F$1027,4,0))</f>
      </c>
      <c r="F241" s="127">
        <f>IF(ISERROR(VLOOKUP($C241,'FERDİ SONUÇ'!$B$6:$H$862,6,0)),"",VLOOKUP($C241,'FERDİ SONUÇ'!$B$6:$H$862,6,0))</f>
      </c>
      <c r="G241" s="131" t="str">
        <f>IF(OR(E241="",F241="DQ",F241="DNF",F241="DNS",F241=""),"-",VLOOKUP(C241,'FERDİ SONUÇ'!$B$6:$H$862,7,0))</f>
        <v>-</v>
      </c>
      <c r="H241" s="129"/>
    </row>
    <row r="242" spans="1:8" ht="14.25" customHeight="1">
      <c r="A242" s="114"/>
      <c r="B242" s="115"/>
      <c r="C242" s="116">
        <f>IF(A244="","",INDEX('TAKIM KAYIT'!$C$6:$C$245,MATCH(C244,'TAKIM KAYIT'!$C$6:$C$245,0)-2))</f>
      </c>
      <c r="D242" s="117">
        <f>IF(ISERROR(VLOOKUP($C242,'START LİSTE'!$B$6:$F$1027,2,0)),"",VLOOKUP($C242,'START LİSTE'!$B$6:$F$1027,2,0))</f>
      </c>
      <c r="E242" s="118">
        <f>IF(ISERROR(VLOOKUP($C242,'START LİSTE'!$B$6:$F$1027,4,0)),"",VLOOKUP($C242,'START LİSTE'!$B$6:$F$1027,4,0))</f>
      </c>
      <c r="F242" s="119">
        <f>IF(ISERROR(VLOOKUP($C242,'FERDİ SONUÇ'!$B$6:$H$862,6,0)),"",VLOOKUP($C242,'FERDİ SONUÇ'!$B$6:$H$862,6,0))</f>
      </c>
      <c r="G242" s="130" t="str">
        <f>IF(OR(E242="",F242="DQ",F242="DNF",F242="DNS",F242=""),"-",VLOOKUP(C242,'FERDİ SONUÇ'!$B$6:$H$862,7,0))</f>
        <v>-</v>
      </c>
      <c r="H242" s="121"/>
    </row>
    <row r="243" spans="1:8" ht="14.25" customHeight="1">
      <c r="A243" s="122"/>
      <c r="B243" s="123"/>
      <c r="C243" s="124">
        <f>IF(A244="","",INDEX('TAKIM KAYIT'!$C$6:$C$245,MATCH(C244,'TAKIM KAYIT'!$C$6:$C$245,0)-1))</f>
      </c>
      <c r="D243" s="125">
        <f>IF(ISERROR(VLOOKUP($C243,'START LİSTE'!$B$6:$F$1027,2,0)),"",VLOOKUP($C243,'START LİSTE'!$B$6:$F$1027,2,0))</f>
      </c>
      <c r="E243" s="126">
        <f>IF(ISERROR(VLOOKUP($C243,'START LİSTE'!$B$6:$F$1027,4,0)),"",VLOOKUP($C243,'START LİSTE'!$B$6:$F$1027,4,0))</f>
      </c>
      <c r="F243" s="127">
        <f>IF(ISERROR(VLOOKUP($C243,'FERDİ SONUÇ'!$B$6:$H$862,6,0)),"",VLOOKUP($C243,'FERDİ SONUÇ'!$B$6:$H$862,6,0))</f>
      </c>
      <c r="G243" s="131" t="str">
        <f>IF(OR(E243="",F243="DQ",F243="DNF",F243="DNS",F243=""),"-",VLOOKUP(C243,'FERDİ SONUÇ'!$B$6:$H$862,7,0))</f>
        <v>-</v>
      </c>
      <c r="H243" s="129"/>
    </row>
    <row r="244" spans="1:8" ht="14.25" customHeight="1">
      <c r="A244" s="43">
        <f>IF(ISERROR(SMALL('TAKIM KAYIT'!$A$6:$A$245,60)),"",SMALL('TAKIM KAYIT'!$A$6:$A$245,60))</f>
      </c>
      <c r="B244" s="123">
        <f>IF(A244="","",VLOOKUP(A244,'TAKIM KAYIT'!$A$6:$J$245,2,FALSE))</f>
      </c>
      <c r="C244" s="124">
        <f>IF(A244="","",VLOOKUP(A244,'TAKIM KAYIT'!$A$6:$J$245,3,FALSE))</f>
      </c>
      <c r="D244" s="125">
        <f>IF(ISERROR(VLOOKUP($C244,'START LİSTE'!$B$6:$F$1027,2,0)),"",VLOOKUP($C244,'START LİSTE'!$B$6:$F$1027,2,0))</f>
      </c>
      <c r="E244" s="126">
        <f>IF(ISERROR(VLOOKUP($C244,'START LİSTE'!$B$6:$F$1027,4,0)),"",VLOOKUP($C244,'START LİSTE'!$B$6:$F$1027,4,0))</f>
      </c>
      <c r="F244" s="127">
        <f>IF(ISERROR(VLOOKUP($C244,'FERDİ SONUÇ'!$B$6:$H$862,6,0)),"",VLOOKUP($C244,'FERDİ SONUÇ'!$B$6:$H$862,6,0))</f>
      </c>
      <c r="G244" s="131" t="str">
        <f>IF(OR(E244="",F244="DQ",F244="DNF",F244="DNS",F244=""),"-",VLOOKUP(C244,'FERDİ SONUÇ'!$B$6:$H$862,7,0))</f>
        <v>-</v>
      </c>
      <c r="H244" s="129">
        <f>IF(A244="","",VLOOKUP(A244,'TAKIM KAYIT'!$A$6:$K$245,10,FALSE))</f>
      </c>
    </row>
    <row r="245" spans="1:8" ht="14.25" customHeight="1">
      <c r="A245" s="122"/>
      <c r="B245" s="123"/>
      <c r="C245" s="124">
        <f>IF(A244="","",INDEX('TAKIM KAYIT'!$C$6:$C$245,MATCH(C244,'TAKIM KAYIT'!$C$6:$C$245,0)+1))</f>
      </c>
      <c r="D245" s="125">
        <f>IF(ISERROR(VLOOKUP($C245,'START LİSTE'!$B$6:$F$1027,2,0)),"",VLOOKUP($C245,'START LİSTE'!$B$6:$F$1027,2,0))</f>
      </c>
      <c r="E245" s="126">
        <f>IF(ISERROR(VLOOKUP($C245,'START LİSTE'!$B$6:$F$1027,4,0)),"",VLOOKUP($C245,'START LİSTE'!$B$6:$F$1027,4,0))</f>
      </c>
      <c r="F245" s="127">
        <f>IF(ISERROR(VLOOKUP($C245,'FERDİ SONUÇ'!$B$6:$H$862,6,0)),"",VLOOKUP($C245,'FERDİ SONUÇ'!$B$6:$H$862,6,0))</f>
      </c>
      <c r="G245" s="131" t="str">
        <f>IF(OR(E245="",F245="DQ",F245="DNF",F245="DNS",F245=""),"-",VLOOKUP(C245,'FERDİ SONUÇ'!$B$6:$H$862,7,0))</f>
        <v>-</v>
      </c>
      <c r="H245" s="129"/>
    </row>
  </sheetData>
  <sheetProtection password="EF9D" sheet="1"/>
  <mergeCells count="6">
    <mergeCell ref="F4:H4"/>
    <mergeCell ref="A2:H2"/>
    <mergeCell ref="A1:H1"/>
    <mergeCell ref="A3:H3"/>
    <mergeCell ref="A4:B4"/>
    <mergeCell ref="C4:D4"/>
  </mergeCells>
  <conditionalFormatting sqref="B5">
    <cfRule type="duplicateValues" priority="7" dxfId="19" stopIfTrue="1">
      <formula>AND(COUNTIF($B$5:$B$5,B5)&gt;1,NOT(ISBLANK(B5)))</formula>
    </cfRule>
  </conditionalFormatting>
  <conditionalFormatting sqref="A6:A125">
    <cfRule type="cellIs" priority="4" dxfId="20" operator="greaterThan">
      <formula>1000</formula>
    </cfRule>
    <cfRule type="cellIs" priority="5" dxfId="19" operator="greaterThan">
      <formula>"&gt;1000"</formula>
    </cfRule>
  </conditionalFormatting>
  <conditionalFormatting sqref="H6:H125">
    <cfRule type="duplicateValues" priority="181" dxfId="0" stopIfTrue="1">
      <formula>AND(COUNTIF($H$6:$H$125,H6)&gt;1,NOT(ISBLANK(H6)))</formula>
    </cfRule>
  </conditionalFormatting>
  <conditionalFormatting sqref="A126:A245">
    <cfRule type="cellIs" priority="2" dxfId="20" operator="greaterThan">
      <formula>1000</formula>
    </cfRule>
    <cfRule type="cellIs" priority="3" dxfId="19" operator="greaterThan">
      <formula>"&gt;1000"</formula>
    </cfRule>
  </conditionalFormatting>
  <conditionalFormatting sqref="H126:H245">
    <cfRule type="duplicateValues" priority="1" dxfId="0" stopIfTrue="1">
      <formula>AND(COUNTIF($H$126:$H$245,H126)&gt;1,NOT(ISBLANK(H126)))</formula>
    </cfRule>
  </conditionalFormatting>
  <printOptions horizontalCentered="1"/>
  <pageMargins left="0.5905511811023623" right="0.2362204724409449" top="0.5511811023622047" bottom="0.35433070866141736" header="0.3937007874015748" footer="0.2362204724409449"/>
  <pageSetup horizontalDpi="300" verticalDpi="300" orientation="portrait" paperSize="9" scale="97" r:id="rId2"/>
  <headerFooter alignWithMargins="0">
    <oddFooter>&amp;C&amp;P</oddFooter>
  </headerFooter>
  <rowBreaks count="4" manualBreakCount="4">
    <brk id="53" max="7" man="1"/>
    <brk id="105" max="7" man="1"/>
    <brk id="157" max="7" man="1"/>
    <brk id="209" max="7" man="1"/>
  </rowBreaks>
  <ignoredErrors>
    <ignoredError sqref="D6 E6:G24 E25:G27 D7:D37 E29:G37 D42:D125 E42:G125"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45" customWidth="1"/>
    <col min="2" max="16384" width="9.125" style="45" customWidth="1"/>
  </cols>
  <sheetData>
    <row r="1" ht="30.75" customHeight="1">
      <c r="A1" s="44" t="s">
        <v>19</v>
      </c>
    </row>
    <row r="2" s="47" customFormat="1" ht="37.5" customHeight="1">
      <c r="A2" s="46" t="s">
        <v>17</v>
      </c>
    </row>
    <row r="3" s="47" customFormat="1" ht="47.25" customHeight="1">
      <c r="A3" s="46" t="s">
        <v>20</v>
      </c>
    </row>
    <row r="4" s="47" customFormat="1" ht="52.5" customHeight="1">
      <c r="A4" s="46" t="s">
        <v>21</v>
      </c>
    </row>
    <row r="5" s="47" customFormat="1" ht="39.75" customHeight="1">
      <c r="A5" s="46" t="s">
        <v>22</v>
      </c>
    </row>
    <row r="6" s="47" customFormat="1" ht="30.75" customHeight="1">
      <c r="A6" s="46" t="s">
        <v>23</v>
      </c>
    </row>
    <row r="7" ht="39.75" customHeight="1">
      <c r="A7" s="46" t="s">
        <v>24</v>
      </c>
    </row>
    <row r="8" ht="44.25" customHeight="1">
      <c r="A8" s="48" t="s">
        <v>25</v>
      </c>
    </row>
    <row r="9" ht="59.25" customHeight="1">
      <c r="A9" s="48" t="s">
        <v>26</v>
      </c>
    </row>
    <row r="10" ht="31.5" customHeight="1">
      <c r="A10" s="49"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TAF13</cp:lastModifiedBy>
  <cp:lastPrinted>2014-11-10T10:18:49Z</cp:lastPrinted>
  <dcterms:created xsi:type="dcterms:W3CDTF">2008-08-11T14:10:37Z</dcterms:created>
  <dcterms:modified xsi:type="dcterms:W3CDTF">2014-11-10T12:28:30Z</dcterms:modified>
  <cp:category/>
  <cp:version/>
  <cp:contentType/>
  <cp:contentStatus/>
</cp:coreProperties>
</file>