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8085" tabRatio="894" activeTab="2"/>
  </bookViews>
  <sheets>
    <sheet name="KAPAK" sheetId="1" r:id="rId1"/>
    <sheet name="START LİSTE" sheetId="2" r:id="rId2"/>
    <sheet name="FERDİ SONUÇ" sheetId="3" r:id="rId3"/>
    <sheet name="TAKIM KAYIT" sheetId="4" r:id="rId4"/>
    <sheet name="TAKIM SONUÇ" sheetId="5" r:id="rId5"/>
    <sheet name="KULLANMA BİLGİLERİ" sheetId="6" state="hidden" r:id="rId6"/>
  </sheet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SONUÇ'!$A$1:$H$30</definedName>
    <definedName name="_xlnm.Print_Area" localSheetId="1">'START LİSTE'!$A$1:$F$45</definedName>
    <definedName name="_xlnm.Print_Area" localSheetId="3">'TAKIM KAYIT'!$A$1:$J$305</definedName>
    <definedName name="_xlnm.Print_Area" localSheetId="4">'TAKIM SONUÇ'!$A$1:$H$20</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<sst xmlns="http://schemas.openxmlformats.org/spreadsheetml/2006/main" count="213" uniqueCount="75">
  <si>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</si>
  <si>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</si>
  <si>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</si>
  <si>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</si>
  <si>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</si>
  <si>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</si>
  <si>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</si>
  <si>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</si>
  <si>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</si>
  <si>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</si>
  <si>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</si>
  <si>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</si>
  <si>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</si>
  <si>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</si>
  <si>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Yarışma Tarihi  :</t>
  </si>
  <si>
    <t>Geliş Puanı</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</si>
  <si>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</si>
  <si>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</si>
  <si>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</si>
  <si>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</si>
  <si>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t>Puan
Sırası</t>
  </si>
  <si>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</si>
  <si>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</si>
  <si>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</si>
  <si>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</si>
  <si>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</si>
  <si>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</si>
  <si>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Atatürk'ü Anma Kros Yarışmaları</t>
  </si>
  <si>
    <t>Ankara</t>
  </si>
  <si>
    <t>İli - Kulüp/Okul Adı</t>
  </si>
  <si>
    <t>Adı ve Soyadı</t>
  </si>
  <si>
    <r>
      <rPr>
        <b/>
        <sz val="14"/>
        <color indexed="10"/>
        <rFont val="Cambria"/>
        <family val="1"/>
      </rPr>
      <t xml:space="preserve">Türkiye Atletizm Federasyonu
Ankara </t>
    </r>
    <r>
      <rPr>
        <b/>
        <sz val="12"/>
        <rFont val="Cambria"/>
        <family val="1"/>
      </rPr>
      <t>Atletizm İl Temsilciliği</t>
    </r>
  </si>
  <si>
    <t>Üniversiteli Erkekler</t>
  </si>
  <si>
    <t>VEDAT GÖNEN</t>
  </si>
  <si>
    <t>AĞRI- İBRAHİM ÇEÇEN ÜNİ.</t>
  </si>
  <si>
    <t>T</t>
  </si>
  <si>
    <t>SEDAT GÖNEN</t>
  </si>
  <si>
    <t>ADEM KARAGÖZ</t>
  </si>
  <si>
    <t>ŞEHMUS SARIHAN</t>
  </si>
  <si>
    <t>DAVUT SASA</t>
  </si>
  <si>
    <t>MUZFFER BAYRAM</t>
  </si>
  <si>
    <t>NİĞDE - NİĞDE ÜNİVERSİTESİ</t>
  </si>
  <si>
    <t>M. ALİ TOSUN</t>
  </si>
  <si>
    <t>MUSTAFA ŞAHİN</t>
  </si>
  <si>
    <t>EREN YILDIZ</t>
  </si>
  <si>
    <t>GÖKHAN SALDUZ</t>
  </si>
  <si>
    <t>ABDULHAMİT DOĞAN</t>
  </si>
  <si>
    <t>ANKARA-POLİS AKADEMİSİ</t>
  </si>
  <si>
    <t>MEHMET KÜÇÜKAKÇALI</t>
  </si>
  <si>
    <t>ABDULKADİR KÖSEOĞLU</t>
  </si>
  <si>
    <t>OSMANHAN CENGİZ</t>
  </si>
  <si>
    <t>İBRAHİM AVSUZ</t>
  </si>
  <si>
    <t>HÜSEYİN PAK</t>
  </si>
  <si>
    <t>AKSARAY</t>
  </si>
  <si>
    <t>F</t>
  </si>
  <si>
    <t>YASİN CEYLAN</t>
  </si>
  <si>
    <t>ANKARA</t>
  </si>
  <si>
    <t>ERCAN ÇETİNER</t>
  </si>
  <si>
    <t>ANKARA/ ANK. ÜNİVERSİTESİ</t>
  </si>
  <si>
    <t>RAMAZAN OZDEMİR</t>
  </si>
  <si>
    <t>BOLU</t>
  </si>
  <si>
    <t>İSA ALTINTOP</t>
  </si>
  <si>
    <t>KASTAMONU ÜNİVERSİTESİ</t>
  </si>
  <si>
    <t>ÖMER ALKANOĞLU</t>
  </si>
  <si>
    <t>MARDİN</t>
  </si>
  <si>
    <t>CEMİLCAN ŞİMŞEK</t>
  </si>
  <si>
    <t>POLİS AKADEMİSİ</t>
  </si>
  <si>
    <t>METEHAN BEKLEYİŞ</t>
  </si>
  <si>
    <t>ERKAN YÜKSEL</t>
  </si>
  <si>
    <t>FATİH ALTIN</t>
  </si>
  <si>
    <t>Sporcu Sayısı</t>
  </si>
  <si>
    <t>Takım Sayısı</t>
  </si>
  <si>
    <t>6 km.</t>
  </si>
  <si>
    <t>DNS</t>
  </si>
  <si>
    <t>-</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</si>
</sst>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 mmmm\ yyyy\ h:mm;@"/>
    <numFmt numFmtId="184" formatCode="00\.00\.00"/>
    <numFmt numFmtId="185" formatCode="[$-41F]dd\ mmmm\ yyyy\ dddd"/>
    <numFmt numFmtId="186" formatCode="00\:00"/>
    <numFmt numFmtId="187" formatCode="mmm/yyyy"/>
  </numFmts>
  <fonts count="57">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sz val="14"/>
      <name val="Arial Tur"/>
      <family val="0"/>
    </font>
    <font>
      <b/>
      <sz val="10"/>
      <name val="Arial Tur"/>
      <family val="0"/>
    </font>
    <font>
      <b/>
      <u val="single"/>
      <sz val="10"/>
      <name val="Arial Tur"/>
      <family val="0"/>
    </font>
    <font>
      <b/>
      <sz val="16"/>
      <name val="Arial Tur"/>
      <family val="0"/>
    </font>
    <font>
      <u val="single"/>
      <sz val="10"/>
      <name val="Arial Tur"/>
      <family val="0"/>
    </font>
    <font>
      <b/>
      <sz val="8"/>
      <name val="Cambria"/>
      <family val="1"/>
    </font>
    <font>
      <b/>
      <sz val="12"/>
      <name val="Cambria"/>
      <family val="1"/>
    </font>
    <font>
      <b/>
      <sz val="12"/>
      <color indexed="10"/>
      <name val="Cambria"/>
      <family val="1"/>
    </font>
    <font>
      <b/>
      <sz val="18"/>
      <name val="Cambria"/>
      <family val="1"/>
    </font>
    <font>
      <b/>
      <sz val="14"/>
      <color indexed="10"/>
      <name val="Cambria"/>
      <family val="1"/>
    </font>
    <font>
      <b/>
      <sz val="18"/>
      <color indexed="10"/>
      <name val="Cambria"/>
      <family val="1"/>
    </font>
    <font>
      <b/>
      <sz val="9"/>
      <name val="Cambria"/>
      <family val="1"/>
    </font>
    <font>
      <sz val="10"/>
      <name val="Cambria"/>
      <family val="1"/>
    </font>
    <font>
      <b/>
      <sz val="10"/>
      <name val="Cambria"/>
      <family val="1"/>
    </font>
    <font>
      <sz val="10"/>
      <color indexed="9"/>
      <name val="Cambria"/>
      <family val="1"/>
    </font>
    <font>
      <b/>
      <sz val="10"/>
      <color indexed="10"/>
      <name val="Cambria"/>
      <family val="1"/>
    </font>
    <font>
      <b/>
      <sz val="9"/>
      <color indexed="10"/>
      <name val="Cambria"/>
      <family val="1"/>
    </font>
    <font>
      <b/>
      <sz val="22"/>
      <color indexed="56"/>
      <name val="Cambria"/>
      <family val="1"/>
    </font>
    <font>
      <b/>
      <sz val="12"/>
      <color indexed="56"/>
      <name val="Cambria"/>
      <family val="1"/>
    </font>
    <font>
      <b/>
      <sz val="11"/>
      <color indexed="8"/>
      <name val="Cambria"/>
      <family val="1"/>
    </font>
    <font>
      <sz val="11"/>
      <name val="Cambria"/>
      <family val="1"/>
    </font>
    <font>
      <sz val="11"/>
      <color indexed="8"/>
      <name val="Cambria"/>
      <family val="1"/>
    </font>
    <font>
      <b/>
      <sz val="11"/>
      <name val="Cambria"/>
      <family val="1"/>
    </font>
    <font>
      <b/>
      <sz val="11"/>
      <color indexed="10"/>
      <name val="Cambria"/>
      <family val="1"/>
    </font>
    <font>
      <b/>
      <sz val="12"/>
      <color indexed="30"/>
      <name val="Cambria"/>
      <family val="1"/>
    </font>
    <font>
      <b/>
      <sz val="12"/>
      <color indexed="8"/>
      <name val="Cambria"/>
      <family val="1"/>
    </font>
    <font>
      <sz val="10"/>
      <color theme="0"/>
      <name val="Cambria"/>
      <family val="1"/>
    </font>
    <font>
      <b/>
      <sz val="9"/>
      <color rgb="FFFF0000"/>
      <name val="Cambria"/>
      <family val="1"/>
    </font>
    <font>
      <b/>
      <sz val="18"/>
      <color rgb="FF002060"/>
      <name val="Cambria"/>
      <family val="1"/>
    </font>
    <font>
      <b/>
      <sz val="22"/>
      <color rgb="FF002060"/>
      <name val="Cambria"/>
      <family val="1"/>
    </font>
    <font>
      <b/>
      <sz val="12"/>
      <color rgb="FF002060"/>
      <name val="Cambria"/>
      <family val="1"/>
    </font>
    <font>
      <b/>
      <sz val="12"/>
      <color rgb="FFFF0000"/>
      <name val="Cambria"/>
      <family val="1"/>
    </font>
    <font>
      <b/>
      <sz val="11"/>
      <color theme="1"/>
      <name val="Cambria"/>
      <family val="1"/>
    </font>
    <font>
      <b/>
      <sz val="11"/>
      <color rgb="FFFF0000"/>
      <name val="Cambria"/>
      <family val="1"/>
    </font>
    <font>
      <b/>
      <sz val="12"/>
      <color rgb="FF0070C0"/>
      <name val="Cambria"/>
      <family val="1"/>
    </font>
    <font>
      <b/>
      <sz val="12"/>
      <color theme="1"/>
      <name val="Cambria"/>
      <family val="1"/>
    </font>
    <font>
      <b/>
      <sz val="10"/>
      <color rgb="FFFF0000"/>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9" tint="0.7999799847602844"/>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EBFFFF"/>
        <bgColor indexed="64"/>
      </patternFill>
    </fill>
    <fill>
      <patternFill patternType="solid">
        <fgColor rgb="FFDDFFFF"/>
        <bgColor indexed="64"/>
      </patternFill>
    </fill>
    <fill>
      <patternFill patternType="solid">
        <fgColor rgb="FFCCFFFF"/>
        <bgColor indexed="64"/>
      </patternFill>
    </fill>
    <fill>
      <patternFill patternType="solid">
        <fgColor rgb="FFFFFF66"/>
        <bgColor indexed="64"/>
      </patternFill>
    </fill>
    <fill>
      <patternFill patternType="solid">
        <fgColor rgb="FFFFFFCC"/>
        <bgColor indexed="64"/>
      </patternFill>
    </fill>
  </fills>
  <borders count="49">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thin"/>
      <top style="thin"/>
      <bottom style="thin"/>
    </border>
    <border>
      <left/>
      <right style="thin"/>
      <top style="thin"/>
      <bottom style="thin"/>
    </border>
    <border>
      <left style="hair"/>
      <right style="hair"/>
      <top style="thin"/>
      <bottom style="thin"/>
    </border>
    <border>
      <left style="hair"/>
      <right style="thin"/>
      <top style="thin"/>
      <bottom style="thin"/>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style="thin"/>
      <bottom style="thin"/>
    </border>
    <border>
      <left/>
      <right/>
      <top/>
      <bottom style="thin"/>
    </border>
    <border>
      <left style="hair"/>
      <right style="hair"/>
      <top>
        <color indexed="63"/>
      </top>
      <bottom style="hair"/>
    </border>
    <border>
      <left style="hair"/>
      <right style="hair"/>
      <top style="hair"/>
      <bottom style="thin"/>
    </border>
    <border>
      <left>
        <color indexed="63"/>
      </left>
      <right style="hair"/>
      <top style="thin"/>
      <bottom style="thin"/>
    </border>
    <border>
      <left style="hair"/>
      <right>
        <color indexed="63"/>
      </right>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bottom style="hair"/>
    </border>
    <border>
      <left/>
      <right style="thin"/>
      <top/>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hair"/>
      <bottom style="thin"/>
    </border>
    <border>
      <left style="thin"/>
      <right style="thin"/>
      <top style="thin"/>
      <bottom style="medium"/>
    </border>
    <border>
      <left/>
      <right/>
      <top style="thin"/>
      <bottom style="medium"/>
    </border>
    <border>
      <left/>
      <right style="medium"/>
      <top style="dashDot"/>
      <bottom style="dashDot"/>
    </border>
    <border>
      <left style="dashDot"/>
      <right/>
      <top style="dashDot"/>
      <bottom style="dashDot"/>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84">
    <xf numFmtId="0" fontId="0" fillId="0" borderId="0" xfId="0" applyAlignment="1">
      <alignment/>
    </xf>
    <xf numFmtId="0" fontId="32" fillId="0" borderId="0" xfId="0" applyFont="1" applyAlignment="1">
      <alignment vertical="center"/>
    </xf>
    <xf numFmtId="0" fontId="32" fillId="0" borderId="0" xfId="0" applyFont="1" applyAlignment="1">
      <alignment horizontal="center" vertical="center"/>
    </xf>
    <xf numFmtId="180" fontId="32" fillId="0" borderId="0" xfId="0" applyNumberFormat="1" applyFont="1" applyAlignment="1">
      <alignment vertical="center"/>
    </xf>
    <xf numFmtId="0" fontId="33" fillId="24" borderId="10" xfId="0" applyFont="1" applyFill="1" applyBorder="1" applyAlignment="1">
      <alignment horizontal="center" vertical="center" wrapText="1"/>
    </xf>
    <xf numFmtId="0" fontId="33" fillId="24" borderId="11" xfId="0" applyFont="1" applyFill="1" applyBorder="1" applyAlignment="1">
      <alignment horizontal="center" vertical="center" wrapText="1"/>
    </xf>
    <xf numFmtId="14" fontId="33" fillId="24" borderId="11" xfId="0" applyNumberFormat="1" applyFont="1" applyFill="1" applyBorder="1" applyAlignment="1">
      <alignment horizontal="center" vertical="center" wrapText="1"/>
    </xf>
    <xf numFmtId="0" fontId="32" fillId="0" borderId="0" xfId="0" applyFont="1" applyBorder="1" applyAlignment="1">
      <alignment vertical="center" wrapText="1"/>
    </xf>
    <xf numFmtId="0" fontId="32" fillId="0" borderId="0" xfId="0" applyFont="1" applyBorder="1" applyAlignment="1">
      <alignment/>
    </xf>
    <xf numFmtId="0" fontId="32" fillId="0" borderId="0" xfId="0" applyFont="1" applyAlignment="1">
      <alignment horizontal="left" vertical="center"/>
    </xf>
    <xf numFmtId="0" fontId="32" fillId="0" borderId="0" xfId="0" applyFont="1" applyFill="1" applyAlignment="1">
      <alignment vertical="center"/>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14" fontId="32" fillId="0" borderId="0" xfId="0" applyNumberFormat="1" applyFont="1" applyFill="1" applyAlignment="1">
      <alignment horizontal="center" vertical="center"/>
    </xf>
    <xf numFmtId="0" fontId="33" fillId="24" borderId="12" xfId="0" applyFont="1" applyFill="1" applyBorder="1" applyAlignment="1" applyProtection="1">
      <alignment horizontal="center" vertical="center" wrapText="1"/>
      <protection hidden="1"/>
    </xf>
    <xf numFmtId="0" fontId="25" fillId="24" borderId="13" xfId="0" applyFont="1" applyFill="1" applyBorder="1" applyAlignment="1" applyProtection="1">
      <alignment horizontal="center" vertical="center" wrapText="1"/>
      <protection hidden="1"/>
    </xf>
    <xf numFmtId="0" fontId="32" fillId="0" borderId="0" xfId="0" applyFont="1" applyBorder="1" applyAlignment="1" applyProtection="1">
      <alignment horizontal="center" vertical="center" wrapText="1"/>
      <protection hidden="1"/>
    </xf>
    <xf numFmtId="0" fontId="32" fillId="0" borderId="0" xfId="0" applyFont="1" applyBorder="1" applyAlignment="1" applyProtection="1">
      <alignment horizontal="center" vertical="center"/>
      <protection hidden="1"/>
    </xf>
    <xf numFmtId="0" fontId="46" fillId="0" borderId="0" xfId="0" applyFont="1" applyBorder="1" applyAlignment="1" applyProtection="1">
      <alignment horizontal="center" vertical="center" wrapText="1"/>
      <protection hidden="1"/>
    </xf>
    <xf numFmtId="0" fontId="33" fillId="25" borderId="14" xfId="0" applyFont="1" applyFill="1" applyBorder="1" applyAlignment="1" applyProtection="1">
      <alignment horizontal="center" vertical="center"/>
      <protection hidden="1"/>
    </xf>
    <xf numFmtId="0" fontId="33" fillId="25" borderId="15" xfId="0" applyFont="1" applyFill="1" applyBorder="1" applyAlignment="1" applyProtection="1">
      <alignment horizontal="center" vertical="center"/>
      <protection hidden="1"/>
    </xf>
    <xf numFmtId="0" fontId="32" fillId="26" borderId="15" xfId="0" applyFont="1" applyFill="1" applyBorder="1" applyAlignment="1" applyProtection="1">
      <alignment horizontal="left" vertical="center" shrinkToFit="1"/>
      <protection hidden="1"/>
    </xf>
    <xf numFmtId="1" fontId="32" fillId="27" borderId="16" xfId="0" applyNumberFormat="1" applyFont="1" applyFill="1" applyBorder="1" applyAlignment="1" applyProtection="1">
      <alignment horizontal="center" vertical="center"/>
      <protection locked="0"/>
    </xf>
    <xf numFmtId="0" fontId="32" fillId="25" borderId="16" xfId="0" applyFont="1" applyFill="1" applyBorder="1" applyAlignment="1" applyProtection="1">
      <alignment horizontal="left" vertical="center" shrinkToFit="1"/>
      <protection hidden="1"/>
    </xf>
    <xf numFmtId="0" fontId="32" fillId="25" borderId="16" xfId="0" applyFont="1" applyFill="1" applyBorder="1" applyAlignment="1" applyProtection="1">
      <alignment horizontal="center" vertical="center"/>
      <protection hidden="1"/>
    </xf>
    <xf numFmtId="0" fontId="32" fillId="25" borderId="16" xfId="0" applyNumberFormat="1" applyFont="1" applyFill="1" applyBorder="1" applyAlignment="1" applyProtection="1">
      <alignment horizontal="center" vertical="center"/>
      <protection hidden="1"/>
    </xf>
    <xf numFmtId="0" fontId="32" fillId="25" borderId="17" xfId="0" applyFont="1" applyFill="1" applyBorder="1" applyAlignment="1" applyProtection="1">
      <alignment horizontal="center" vertical="center"/>
      <protection hidden="1"/>
    </xf>
    <xf numFmtId="0" fontId="32" fillId="0" borderId="0" xfId="0" applyFont="1" applyAlignment="1" applyProtection="1">
      <alignment horizontal="center" vertical="center"/>
      <protection hidden="1"/>
    </xf>
    <xf numFmtId="0" fontId="46" fillId="0" borderId="0" xfId="0" applyFont="1" applyAlignment="1" applyProtection="1">
      <alignment horizontal="center" vertical="center"/>
      <protection hidden="1"/>
    </xf>
    <xf numFmtId="0" fontId="33" fillId="25" borderId="18" xfId="0" applyFont="1" applyFill="1" applyBorder="1" applyAlignment="1" applyProtection="1">
      <alignment horizontal="center" vertical="center"/>
      <protection hidden="1"/>
    </xf>
    <xf numFmtId="0" fontId="33" fillId="25" borderId="19" xfId="0" applyFont="1" applyFill="1" applyBorder="1" applyAlignment="1" applyProtection="1">
      <alignment horizontal="center" vertical="center"/>
      <protection hidden="1"/>
    </xf>
    <xf numFmtId="0" fontId="32" fillId="26" borderId="19" xfId="0" applyFont="1" applyFill="1" applyBorder="1" applyAlignment="1" applyProtection="1">
      <alignment horizontal="left" vertical="center" shrinkToFit="1"/>
      <protection hidden="1"/>
    </xf>
    <xf numFmtId="1" fontId="32" fillId="27" borderId="20" xfId="0" applyNumberFormat="1" applyFont="1" applyFill="1" applyBorder="1" applyAlignment="1" applyProtection="1">
      <alignment horizontal="center" vertical="center"/>
      <protection locked="0"/>
    </xf>
    <xf numFmtId="0" fontId="32" fillId="25" borderId="20" xfId="0" applyFont="1" applyFill="1" applyBorder="1" applyAlignment="1" applyProtection="1">
      <alignment horizontal="left" vertical="center" shrinkToFit="1"/>
      <protection hidden="1"/>
    </xf>
    <xf numFmtId="0" fontId="32" fillId="25" borderId="20" xfId="0" applyFont="1" applyFill="1" applyBorder="1" applyAlignment="1" applyProtection="1">
      <alignment horizontal="center" vertical="center"/>
      <protection hidden="1"/>
    </xf>
    <xf numFmtId="0" fontId="32" fillId="25" borderId="20" xfId="0" applyNumberFormat="1" applyFont="1" applyFill="1" applyBorder="1" applyAlignment="1" applyProtection="1">
      <alignment horizontal="center" vertical="center"/>
      <protection hidden="1"/>
    </xf>
    <xf numFmtId="0" fontId="32" fillId="25" borderId="21"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3" fillId="0" borderId="0" xfId="0" applyFont="1" applyAlignment="1" applyProtection="1">
      <alignment horizontal="center" vertical="center" wrapText="1"/>
      <protection hidden="1"/>
    </xf>
    <xf numFmtId="0" fontId="46" fillId="0" borderId="0" xfId="0" applyFont="1" applyAlignment="1" applyProtection="1">
      <alignment horizontal="center" vertical="center" wrapText="1"/>
      <protection hidden="1"/>
    </xf>
    <xf numFmtId="0" fontId="33" fillId="24" borderId="22" xfId="0" applyFont="1" applyFill="1" applyBorder="1" applyAlignment="1" applyProtection="1">
      <alignment horizontal="center" vertical="center" wrapText="1"/>
      <protection hidden="1"/>
    </xf>
    <xf numFmtId="0" fontId="26" fillId="25" borderId="19" xfId="0" applyFont="1" applyFill="1" applyBorder="1" applyAlignment="1" applyProtection="1">
      <alignment horizontal="center" vertical="center"/>
      <protection hidden="1"/>
    </xf>
    <xf numFmtId="0" fontId="26" fillId="27" borderId="18" xfId="0" applyFont="1" applyFill="1" applyBorder="1" applyAlignment="1" applyProtection="1">
      <alignment horizontal="center" vertical="center"/>
      <protection locked="0"/>
    </xf>
    <xf numFmtId="0" fontId="35" fillId="28" borderId="23" xfId="0" applyFont="1" applyFill="1" applyBorder="1" applyAlignment="1" applyProtection="1">
      <alignment vertical="center"/>
      <protection hidden="1"/>
    </xf>
    <xf numFmtId="1" fontId="32" fillId="27" borderId="24" xfId="0" applyNumberFormat="1" applyFont="1" applyFill="1" applyBorder="1" applyAlignment="1" applyProtection="1">
      <alignment horizontal="center" vertical="center"/>
      <protection locked="0"/>
    </xf>
    <xf numFmtId="1" fontId="32" fillId="27" borderId="25" xfId="0" applyNumberFormat="1" applyFont="1" applyFill="1" applyBorder="1" applyAlignment="1" applyProtection="1">
      <alignment horizontal="center" vertical="center"/>
      <protection locked="0"/>
    </xf>
    <xf numFmtId="0" fontId="20" fillId="24" borderId="10"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0"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10" xfId="0" applyBorder="1" applyAlignment="1" applyProtection="1">
      <alignment horizontal="center" vertical="center" wrapText="1"/>
      <protection hidden="1"/>
    </xf>
    <xf numFmtId="0" fontId="21" fillId="0" borderId="10" xfId="0" applyFont="1" applyBorder="1" applyAlignment="1" applyProtection="1">
      <alignment horizontal="center" wrapText="1"/>
      <protection hidden="1"/>
    </xf>
    <xf numFmtId="0" fontId="32" fillId="25" borderId="24" xfId="0" applyFont="1" applyFill="1" applyBorder="1" applyAlignment="1" applyProtection="1">
      <alignment horizontal="left" vertical="center" shrinkToFit="1"/>
      <protection hidden="1"/>
    </xf>
    <xf numFmtId="0" fontId="33" fillId="24" borderId="26" xfId="0" applyFont="1" applyFill="1" applyBorder="1" applyAlignment="1" applyProtection="1">
      <alignment horizontal="center" vertical="center" wrapText="1"/>
      <protection hidden="1"/>
    </xf>
    <xf numFmtId="0" fontId="32" fillId="25" borderId="25" xfId="0" applyFont="1" applyFill="1" applyBorder="1" applyAlignment="1" applyProtection="1">
      <alignment horizontal="left" vertical="center" shrinkToFit="1"/>
      <protection hidden="1"/>
    </xf>
    <xf numFmtId="181" fontId="47" fillId="28" borderId="23" xfId="0" applyNumberFormat="1" applyFont="1" applyFill="1" applyBorder="1" applyAlignment="1" applyProtection="1">
      <alignment vertical="center"/>
      <protection hidden="1"/>
    </xf>
    <xf numFmtId="14" fontId="33" fillId="27" borderId="27" xfId="0" applyNumberFormat="1" applyFont="1" applyFill="1" applyBorder="1" applyAlignment="1" applyProtection="1">
      <alignment horizontal="center" vertical="center" wrapText="1"/>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19" fillId="0" borderId="0" xfId="0" applyFont="1" applyFill="1" applyAlignment="1" applyProtection="1">
      <alignment vertical="center"/>
      <protection hidden="1"/>
    </xf>
    <xf numFmtId="0" fontId="30" fillId="29" borderId="28" xfId="0" applyFont="1" applyFill="1" applyBorder="1" applyAlignment="1" applyProtection="1">
      <alignment vertical="center"/>
      <protection hidden="1"/>
    </xf>
    <xf numFmtId="0" fontId="30" fillId="29" borderId="0" xfId="0" applyFont="1" applyFill="1" applyBorder="1" applyAlignment="1" applyProtection="1">
      <alignment vertical="center"/>
      <protection hidden="1"/>
    </xf>
    <xf numFmtId="0" fontId="30" fillId="29" borderId="29" xfId="0" applyFont="1" applyFill="1" applyBorder="1" applyAlignment="1" applyProtection="1">
      <alignment vertical="center"/>
      <protection hidden="1"/>
    </xf>
    <xf numFmtId="0" fontId="48" fillId="29" borderId="28" xfId="0" applyFont="1" applyFill="1" applyBorder="1" applyAlignment="1" applyProtection="1">
      <alignment vertical="center"/>
      <protection hidden="1"/>
    </xf>
    <xf numFmtId="0" fontId="49" fillId="29" borderId="0" xfId="0" applyFont="1" applyFill="1" applyBorder="1" applyAlignment="1" applyProtection="1">
      <alignment horizontal="center" vertical="center"/>
      <protection hidden="1"/>
    </xf>
    <xf numFmtId="0" fontId="48" fillId="29" borderId="29" xfId="0" applyFont="1" applyFill="1" applyBorder="1" applyAlignment="1" applyProtection="1">
      <alignment vertical="center"/>
      <protection hidden="1"/>
    </xf>
    <xf numFmtId="0" fontId="30" fillId="29" borderId="0" xfId="0" applyFont="1" applyFill="1" applyBorder="1" applyAlignment="1" applyProtection="1">
      <alignment horizontal="center" vertical="center"/>
      <protection hidden="1"/>
    </xf>
    <xf numFmtId="0" fontId="30" fillId="29" borderId="30" xfId="0" applyFont="1" applyFill="1" applyBorder="1" applyAlignment="1" applyProtection="1">
      <alignment vertical="center"/>
      <protection hidden="1"/>
    </xf>
    <xf numFmtId="0" fontId="30" fillId="29" borderId="31" xfId="0" applyFont="1" applyFill="1" applyBorder="1" applyAlignment="1" applyProtection="1">
      <alignment vertical="center"/>
      <protection hidden="1"/>
    </xf>
    <xf numFmtId="0" fontId="30" fillId="29" borderId="32" xfId="0" applyFont="1" applyFill="1" applyBorder="1" applyAlignment="1" applyProtection="1">
      <alignment vertical="center"/>
      <protection hidden="1"/>
    </xf>
    <xf numFmtId="0" fontId="50" fillId="30" borderId="28" xfId="0" applyFont="1" applyFill="1" applyBorder="1" applyAlignment="1" applyProtection="1">
      <alignment horizontal="right" vertical="center" wrapText="1"/>
      <protection hidden="1"/>
    </xf>
    <xf numFmtId="0" fontId="50" fillId="30" borderId="28" xfId="0" applyFont="1" applyFill="1" applyBorder="1" applyAlignment="1" applyProtection="1">
      <alignment horizontal="right" vertical="center"/>
      <protection hidden="1"/>
    </xf>
    <xf numFmtId="0" fontId="50" fillId="30" borderId="30" xfId="0" applyFont="1" applyFill="1" applyBorder="1" applyAlignment="1" applyProtection="1">
      <alignment horizontal="right" vertical="center" wrapText="1"/>
      <protection hidden="1"/>
    </xf>
    <xf numFmtId="0" fontId="51" fillId="29" borderId="28" xfId="0" applyFont="1" applyFill="1" applyBorder="1" applyAlignment="1" applyProtection="1">
      <alignment horizontal="right" vertical="center" wrapText="1"/>
      <protection hidden="1"/>
    </xf>
    <xf numFmtId="181" fontId="52" fillId="29" borderId="0" xfId="0" applyNumberFormat="1" applyFont="1" applyFill="1" applyBorder="1" applyAlignment="1" applyProtection="1">
      <alignment horizontal="left" vertical="center" wrapText="1"/>
      <protection hidden="1"/>
    </xf>
    <xf numFmtId="181" fontId="52" fillId="29" borderId="29" xfId="0" applyNumberFormat="1" applyFont="1" applyFill="1" applyBorder="1" applyAlignment="1" applyProtection="1">
      <alignment horizontal="left" vertical="center" wrapText="1"/>
      <protection hidden="1"/>
    </xf>
    <xf numFmtId="0" fontId="31" fillId="29" borderId="33" xfId="0" applyFont="1" applyFill="1" applyBorder="1" applyAlignment="1" applyProtection="1">
      <alignment horizontal="left" vertical="center"/>
      <protection hidden="1"/>
    </xf>
    <xf numFmtId="0" fontId="31" fillId="29" borderId="34" xfId="0" applyFont="1" applyFill="1" applyBorder="1" applyAlignment="1" applyProtection="1">
      <alignment vertical="center" wrapText="1"/>
      <protection hidden="1"/>
    </xf>
    <xf numFmtId="0" fontId="25" fillId="29" borderId="35" xfId="0" applyFont="1" applyFill="1" applyBorder="1" applyAlignment="1" applyProtection="1">
      <alignment vertical="center"/>
      <protection hidden="1"/>
    </xf>
    <xf numFmtId="0" fontId="40" fillId="0" borderId="36" xfId="0" applyFont="1" applyFill="1" applyBorder="1" applyAlignment="1">
      <alignment horizontal="center" vertical="center"/>
    </xf>
    <xf numFmtId="0" fontId="40" fillId="0" borderId="37" xfId="0" applyFont="1" applyFill="1" applyBorder="1" applyAlignment="1">
      <alignment horizontal="center" vertical="center"/>
    </xf>
    <xf numFmtId="0" fontId="40" fillId="0" borderId="37" xfId="0" applyFont="1" applyFill="1" applyBorder="1" applyAlignment="1">
      <alignment horizontal="left" vertical="center"/>
    </xf>
    <xf numFmtId="14" fontId="40" fillId="0" borderId="37" xfId="0" applyNumberFormat="1" applyFont="1" applyFill="1" applyBorder="1" applyAlignment="1">
      <alignment horizontal="center" vertical="center"/>
    </xf>
    <xf numFmtId="0" fontId="40" fillId="0" borderId="38" xfId="0" applyFont="1" applyFill="1" applyBorder="1" applyAlignment="1">
      <alignment horizontal="center" vertical="center"/>
    </xf>
    <xf numFmtId="0" fontId="40" fillId="0" borderId="39" xfId="0" applyFont="1" applyFill="1" applyBorder="1" applyAlignment="1">
      <alignment horizontal="center" vertical="center"/>
    </xf>
    <xf numFmtId="0" fontId="40" fillId="0" borderId="39" xfId="0" applyFont="1" applyFill="1" applyBorder="1" applyAlignment="1">
      <alignment horizontal="left" vertical="center"/>
    </xf>
    <xf numFmtId="0" fontId="40" fillId="0" borderId="39" xfId="0" applyFont="1" applyFill="1" applyBorder="1" applyAlignment="1">
      <alignment horizontal="center" vertical="center" wrapText="1"/>
    </xf>
    <xf numFmtId="14" fontId="40" fillId="0" borderId="39" xfId="0" applyNumberFormat="1" applyFont="1" applyFill="1" applyBorder="1" applyAlignment="1">
      <alignment horizontal="center" vertical="center"/>
    </xf>
    <xf numFmtId="0" fontId="40" fillId="0" borderId="40" xfId="0" applyFont="1" applyFill="1" applyBorder="1" applyAlignment="1">
      <alignment horizontal="center" vertical="center"/>
    </xf>
    <xf numFmtId="0" fontId="40" fillId="0" borderId="41" xfId="0" applyFont="1" applyFill="1" applyBorder="1" applyAlignment="1">
      <alignment horizontal="left" vertical="center"/>
    </xf>
    <xf numFmtId="0" fontId="40" fillId="0" borderId="41" xfId="0" applyFont="1" applyFill="1" applyBorder="1" applyAlignment="1">
      <alignment horizontal="center" vertical="center" wrapText="1"/>
    </xf>
    <xf numFmtId="14" fontId="40" fillId="0" borderId="41" xfId="0" applyNumberFormat="1" applyFont="1" applyFill="1" applyBorder="1" applyAlignment="1">
      <alignment horizontal="center" vertical="center"/>
    </xf>
    <xf numFmtId="0" fontId="40" fillId="0" borderId="37" xfId="0" applyFont="1" applyFill="1" applyBorder="1" applyAlignment="1">
      <alignment horizontal="center" vertical="center" wrapText="1"/>
    </xf>
    <xf numFmtId="0" fontId="40" fillId="0" borderId="41" xfId="0" applyFont="1" applyFill="1" applyBorder="1" applyAlignment="1">
      <alignment horizontal="center" vertical="center"/>
    </xf>
    <xf numFmtId="0" fontId="41" fillId="25" borderId="38" xfId="0" applyFont="1" applyFill="1" applyBorder="1" applyAlignment="1" applyProtection="1">
      <alignment horizontal="center" vertical="center"/>
      <protection hidden="1"/>
    </xf>
    <xf numFmtId="0" fontId="40" fillId="31" borderId="39" xfId="0" applyFont="1" applyFill="1" applyBorder="1" applyAlignment="1" applyProtection="1">
      <alignment horizontal="center" vertical="center"/>
      <protection locked="0"/>
    </xf>
    <xf numFmtId="0" fontId="40" fillId="25" borderId="39" xfId="0" applyFont="1" applyFill="1" applyBorder="1" applyAlignment="1" applyProtection="1">
      <alignment horizontal="left" vertical="center" shrinkToFit="1"/>
      <protection hidden="1"/>
    </xf>
    <xf numFmtId="0" fontId="40" fillId="25" borderId="37" xfId="0" applyFont="1" applyFill="1" applyBorder="1" applyAlignment="1" applyProtection="1">
      <alignment horizontal="left" vertical="center" shrinkToFit="1"/>
      <protection hidden="1"/>
    </xf>
    <xf numFmtId="0" fontId="40" fillId="25" borderId="39" xfId="0" applyFont="1" applyFill="1" applyBorder="1" applyAlignment="1" applyProtection="1">
      <alignment horizontal="center" vertical="center"/>
      <protection hidden="1"/>
    </xf>
    <xf numFmtId="14" fontId="40" fillId="25" borderId="39" xfId="0" applyNumberFormat="1" applyFont="1" applyFill="1" applyBorder="1" applyAlignment="1" applyProtection="1">
      <alignment horizontal="center" vertical="center"/>
      <protection hidden="1"/>
    </xf>
    <xf numFmtId="0" fontId="40" fillId="25" borderId="38" xfId="0" applyFont="1" applyFill="1" applyBorder="1" applyAlignment="1" applyProtection="1">
      <alignment horizontal="center" vertical="center"/>
      <protection hidden="1"/>
    </xf>
    <xf numFmtId="0" fontId="42" fillId="25" borderId="14" xfId="0" applyFont="1" applyFill="1" applyBorder="1" applyAlignment="1" applyProtection="1">
      <alignment horizontal="center" vertical="center"/>
      <protection hidden="1"/>
    </xf>
    <xf numFmtId="0" fontId="40" fillId="26" borderId="15" xfId="0" applyFont="1" applyFill="1" applyBorder="1" applyAlignment="1" applyProtection="1">
      <alignment horizontal="left" vertical="center" shrinkToFit="1"/>
      <protection hidden="1"/>
    </xf>
    <xf numFmtId="1" fontId="40" fillId="25" borderId="16" xfId="0" applyNumberFormat="1" applyFont="1" applyFill="1" applyBorder="1" applyAlignment="1" applyProtection="1">
      <alignment horizontal="center" vertical="center"/>
      <protection hidden="1"/>
    </xf>
    <xf numFmtId="0" fontId="40" fillId="25" borderId="24" xfId="0" applyFont="1" applyFill="1" applyBorder="1" applyAlignment="1" applyProtection="1">
      <alignment horizontal="left" vertical="center" shrinkToFit="1"/>
      <protection hidden="1"/>
    </xf>
    <xf numFmtId="0" fontId="40" fillId="25" borderId="16" xfId="0" applyFont="1" applyFill="1" applyBorder="1" applyAlignment="1" applyProtection="1">
      <alignment horizontal="center" vertical="center"/>
      <protection hidden="1"/>
    </xf>
    <xf numFmtId="0" fontId="40" fillId="25" borderId="17" xfId="0" applyNumberFormat="1" applyFont="1" applyFill="1" applyBorder="1" applyAlignment="1" applyProtection="1">
      <alignment horizontal="center" vertical="center"/>
      <protection hidden="1"/>
    </xf>
    <xf numFmtId="0" fontId="42" fillId="25" borderId="15" xfId="0" applyFont="1" applyFill="1" applyBorder="1" applyAlignment="1" applyProtection="1">
      <alignment horizontal="center" vertical="center"/>
      <protection hidden="1"/>
    </xf>
    <xf numFmtId="0" fontId="40" fillId="0" borderId="0" xfId="0" applyFont="1" applyAlignment="1" applyProtection="1">
      <alignment horizontal="center" vertical="center"/>
      <protection hidden="1"/>
    </xf>
    <xf numFmtId="0" fontId="42" fillId="25" borderId="18" xfId="0" applyFont="1" applyFill="1" applyBorder="1" applyAlignment="1" applyProtection="1">
      <alignment horizontal="center" vertical="center"/>
      <protection hidden="1"/>
    </xf>
    <xf numFmtId="0" fontId="40" fillId="26" borderId="19" xfId="0" applyFont="1" applyFill="1" applyBorder="1" applyAlignment="1" applyProtection="1">
      <alignment horizontal="left" vertical="center" shrinkToFit="1"/>
      <protection hidden="1"/>
    </xf>
    <xf numFmtId="1" fontId="40" fillId="25" borderId="20" xfId="0" applyNumberFormat="1" applyFont="1" applyFill="1" applyBorder="1" applyAlignment="1" applyProtection="1">
      <alignment horizontal="center" vertical="center"/>
      <protection hidden="1"/>
    </xf>
    <xf numFmtId="0" fontId="40" fillId="25" borderId="20" xfId="0" applyFont="1" applyFill="1" applyBorder="1" applyAlignment="1" applyProtection="1">
      <alignment horizontal="left" vertical="center" shrinkToFit="1"/>
      <protection hidden="1"/>
    </xf>
    <xf numFmtId="0" fontId="40" fillId="25" borderId="20" xfId="0" applyFont="1" applyFill="1" applyBorder="1" applyAlignment="1" applyProtection="1">
      <alignment horizontal="center" vertical="center"/>
      <protection hidden="1"/>
    </xf>
    <xf numFmtId="0" fontId="40" fillId="25" borderId="21" xfId="0" applyNumberFormat="1" applyFont="1" applyFill="1" applyBorder="1" applyAlignment="1" applyProtection="1">
      <alignment horizontal="center" vertical="center"/>
      <protection hidden="1"/>
    </xf>
    <xf numFmtId="0" fontId="42" fillId="25" borderId="19" xfId="0" applyFont="1" applyFill="1" applyBorder="1" applyAlignment="1" applyProtection="1">
      <alignment horizontal="center" vertical="center"/>
      <protection hidden="1"/>
    </xf>
    <xf numFmtId="0" fontId="40" fillId="25" borderId="16" xfId="0" applyFont="1" applyFill="1" applyBorder="1" applyAlignment="1" applyProtection="1">
      <alignment horizontal="left" vertical="center" shrinkToFit="1"/>
      <protection hidden="1"/>
    </xf>
    <xf numFmtId="0" fontId="40" fillId="0" borderId="0" xfId="0" applyFont="1" applyAlignment="1" applyProtection="1">
      <alignment horizontal="center" vertical="center" wrapText="1"/>
      <protection hidden="1"/>
    </xf>
    <xf numFmtId="0" fontId="40" fillId="25" borderId="17" xfId="0" applyFont="1" applyFill="1" applyBorder="1" applyAlignment="1" applyProtection="1">
      <alignment horizontal="center" vertical="center"/>
      <protection hidden="1"/>
    </xf>
    <xf numFmtId="0" fontId="40" fillId="25" borderId="21" xfId="0" applyFont="1" applyFill="1" applyBorder="1" applyAlignment="1" applyProtection="1">
      <alignment horizontal="center" vertical="center"/>
      <protection hidden="1"/>
    </xf>
    <xf numFmtId="186" fontId="33" fillId="24" borderId="12" xfId="0" applyNumberFormat="1" applyFont="1" applyFill="1" applyBorder="1" applyAlignment="1" applyProtection="1">
      <alignment horizontal="center" vertical="center" wrapText="1"/>
      <protection hidden="1"/>
    </xf>
    <xf numFmtId="186" fontId="40" fillId="25" borderId="16" xfId="0" applyNumberFormat="1" applyFont="1" applyFill="1" applyBorder="1" applyAlignment="1" applyProtection="1">
      <alignment horizontal="center" vertical="center"/>
      <protection hidden="1"/>
    </xf>
    <xf numFmtId="186" fontId="40" fillId="25" borderId="20" xfId="0" applyNumberFormat="1" applyFont="1" applyFill="1" applyBorder="1" applyAlignment="1" applyProtection="1">
      <alignment horizontal="center" vertical="center"/>
      <protection hidden="1"/>
    </xf>
    <xf numFmtId="186" fontId="32" fillId="0" borderId="0" xfId="0" applyNumberFormat="1" applyFont="1" applyAlignment="1" applyProtection="1">
      <alignment horizontal="center" vertical="center" wrapText="1"/>
      <protection hidden="1"/>
    </xf>
    <xf numFmtId="186" fontId="33" fillId="24" borderId="11" xfId="0" applyNumberFormat="1" applyFont="1" applyFill="1" applyBorder="1" applyAlignment="1">
      <alignment horizontal="center" vertical="center" wrapText="1"/>
    </xf>
    <xf numFmtId="186" fontId="40" fillId="31" borderId="39" xfId="0" applyNumberFormat="1" applyFont="1" applyFill="1" applyBorder="1" applyAlignment="1" applyProtection="1">
      <alignment horizontal="center" vertical="center"/>
      <protection locked="0"/>
    </xf>
    <xf numFmtId="186" fontId="32" fillId="0" borderId="0" xfId="0" applyNumberFormat="1" applyFont="1" applyAlignment="1">
      <alignment horizontal="center" vertical="center"/>
    </xf>
    <xf numFmtId="186" fontId="32" fillId="25" borderId="16" xfId="0" applyNumberFormat="1" applyFont="1" applyFill="1" applyBorder="1" applyAlignment="1" applyProtection="1">
      <alignment horizontal="center" vertical="center"/>
      <protection hidden="1"/>
    </xf>
    <xf numFmtId="186" fontId="32" fillId="25" borderId="20" xfId="0" applyNumberFormat="1" applyFont="1" applyFill="1" applyBorder="1" applyAlignment="1" applyProtection="1">
      <alignment horizontal="center" vertical="center"/>
      <protection hidden="1"/>
    </xf>
    <xf numFmtId="181" fontId="53" fillId="28" borderId="0" xfId="0" applyNumberFormat="1" applyFont="1" applyFill="1" applyBorder="1" applyAlignment="1">
      <alignment horizontal="left" vertical="center"/>
    </xf>
    <xf numFmtId="0" fontId="33" fillId="32" borderId="42" xfId="0" applyFont="1" applyFill="1" applyBorder="1" applyAlignment="1">
      <alignment horizontal="center" vertical="center" wrapText="1"/>
    </xf>
    <xf numFmtId="0" fontId="33" fillId="32" borderId="43" xfId="0" applyFont="1" applyFill="1" applyBorder="1" applyAlignment="1">
      <alignment horizontal="center" vertical="center" wrapText="1"/>
    </xf>
    <xf numFmtId="14" fontId="33" fillId="32" borderId="42" xfId="0" applyNumberFormat="1" applyFont="1" applyFill="1" applyBorder="1" applyAlignment="1">
      <alignment horizontal="center" vertical="center" wrapText="1"/>
    </xf>
    <xf numFmtId="181" fontId="51" fillId="28" borderId="23" xfId="0" applyNumberFormat="1" applyFont="1" applyFill="1" applyBorder="1" applyAlignment="1">
      <alignment horizontal="center" vertical="center"/>
    </xf>
    <xf numFmtId="181" fontId="51" fillId="28" borderId="23" xfId="0" applyNumberFormat="1" applyFont="1" applyFill="1" applyBorder="1" applyAlignment="1">
      <alignment vertical="center"/>
    </xf>
    <xf numFmtId="0" fontId="33" fillId="32" borderId="22" xfId="0" applyFont="1" applyFill="1" applyBorder="1" applyAlignment="1" applyProtection="1">
      <alignment horizontal="center" vertical="center" wrapText="1"/>
      <protection hidden="1"/>
    </xf>
    <xf numFmtId="0" fontId="33" fillId="32" borderId="12" xfId="0" applyFont="1" applyFill="1" applyBorder="1" applyAlignment="1" applyProtection="1">
      <alignment horizontal="center" vertical="center" wrapText="1"/>
      <protection hidden="1"/>
    </xf>
    <xf numFmtId="14" fontId="33" fillId="32" borderId="27" xfId="0" applyNumberFormat="1" applyFont="1" applyFill="1" applyBorder="1" applyAlignment="1" applyProtection="1">
      <alignment horizontal="center" vertical="center" wrapText="1"/>
      <protection hidden="1"/>
    </xf>
    <xf numFmtId="0" fontId="33" fillId="32" borderId="12" xfId="0" applyFont="1" applyFill="1" applyBorder="1" applyAlignment="1">
      <alignment horizontal="center" vertical="center" wrapText="1"/>
    </xf>
    <xf numFmtId="0" fontId="33" fillId="32" borderId="26" xfId="0" applyFont="1" applyFill="1" applyBorder="1" applyAlignment="1" applyProtection="1">
      <alignment horizontal="center" vertical="center" wrapText="1"/>
      <protection hidden="1"/>
    </xf>
    <xf numFmtId="186" fontId="33" fillId="32" borderId="12" xfId="0" applyNumberFormat="1" applyFont="1" applyFill="1" applyBorder="1" applyAlignment="1" applyProtection="1">
      <alignment horizontal="center" vertical="center" wrapText="1"/>
      <protection hidden="1"/>
    </xf>
    <xf numFmtId="0" fontId="33" fillId="32" borderId="13" xfId="0" applyFont="1" applyFill="1" applyBorder="1" applyAlignment="1" applyProtection="1">
      <alignment horizontal="center" vertical="center" wrapText="1"/>
      <protection hidden="1"/>
    </xf>
    <xf numFmtId="0" fontId="27" fillId="28" borderId="23" xfId="0" applyFont="1" applyFill="1" applyBorder="1" applyAlignment="1" applyProtection="1">
      <alignment vertical="center"/>
      <protection hidden="1"/>
    </xf>
    <xf numFmtId="181" fontId="51" fillId="28" borderId="23" xfId="0" applyNumberFormat="1" applyFont="1" applyFill="1" applyBorder="1" applyAlignment="1" applyProtection="1">
      <alignment vertical="center"/>
      <protection hidden="1"/>
    </xf>
    <xf numFmtId="183" fontId="54" fillId="30" borderId="44" xfId="0" applyNumberFormat="1" applyFont="1" applyFill="1" applyBorder="1" applyAlignment="1" applyProtection="1">
      <alignment vertical="center" wrapText="1"/>
      <protection locked="0"/>
    </xf>
    <xf numFmtId="0" fontId="54" fillId="30" borderId="45" xfId="0" applyNumberFormat="1" applyFont="1" applyFill="1" applyBorder="1" applyAlignment="1" applyProtection="1">
      <alignment horizontal="left" vertical="center" wrapText="1"/>
      <protection locked="0"/>
    </xf>
    <xf numFmtId="0" fontId="54" fillId="30" borderId="45" xfId="0" applyFont="1" applyFill="1" applyBorder="1" applyAlignment="1" applyProtection="1">
      <alignment horizontal="left" vertical="center" wrapText="1"/>
      <protection locked="0"/>
    </xf>
    <xf numFmtId="0" fontId="54" fillId="30" borderId="44" xfId="0" applyFont="1" applyFill="1" applyBorder="1" applyAlignment="1" applyProtection="1">
      <alignment horizontal="left" vertical="center" wrapText="1"/>
      <protection locked="0"/>
    </xf>
    <xf numFmtId="183" fontId="54" fillId="30" borderId="45" xfId="0" applyNumberFormat="1" applyFont="1" applyFill="1" applyBorder="1" applyAlignment="1" applyProtection="1">
      <alignment horizontal="left" vertical="center" wrapText="1"/>
      <protection locked="0"/>
    </xf>
    <xf numFmtId="183" fontId="54" fillId="30" borderId="44" xfId="0" applyNumberFormat="1" applyFont="1" applyFill="1" applyBorder="1" applyAlignment="1" applyProtection="1">
      <alignment horizontal="left" vertical="center" wrapText="1"/>
      <protection locked="0"/>
    </xf>
    <xf numFmtId="0" fontId="28" fillId="29" borderId="46" xfId="0" applyFont="1" applyFill="1" applyBorder="1" applyAlignment="1" applyProtection="1">
      <alignment horizontal="center" wrapText="1"/>
      <protection hidden="1"/>
    </xf>
    <xf numFmtId="0" fontId="28" fillId="29" borderId="47" xfId="0" applyFont="1" applyFill="1" applyBorder="1" applyAlignment="1" applyProtection="1">
      <alignment horizontal="center" wrapText="1"/>
      <protection hidden="1"/>
    </xf>
    <xf numFmtId="0" fontId="28" fillId="29" borderId="48" xfId="0" applyFont="1" applyFill="1" applyBorder="1" applyAlignment="1" applyProtection="1">
      <alignment horizontal="center" wrapText="1"/>
      <protection hidden="1"/>
    </xf>
    <xf numFmtId="0" fontId="27" fillId="29" borderId="28" xfId="0" applyFont="1" applyFill="1" applyBorder="1" applyAlignment="1" applyProtection="1">
      <alignment horizontal="center" vertical="center" wrapText="1"/>
      <protection locked="0"/>
    </xf>
    <xf numFmtId="0" fontId="51" fillId="29" borderId="0" xfId="0" applyFont="1" applyFill="1" applyBorder="1" applyAlignment="1" applyProtection="1">
      <alignment horizontal="center" vertical="center"/>
      <protection locked="0"/>
    </xf>
    <xf numFmtId="0" fontId="51" fillId="29" borderId="29" xfId="0" applyFont="1" applyFill="1" applyBorder="1" applyAlignment="1" applyProtection="1">
      <alignment horizontal="center" vertical="center"/>
      <protection locked="0"/>
    </xf>
    <xf numFmtId="0" fontId="55" fillId="29" borderId="28" xfId="0" applyFont="1" applyFill="1" applyBorder="1" applyAlignment="1" applyProtection="1">
      <alignment horizontal="center" vertical="center"/>
      <protection hidden="1"/>
    </xf>
    <xf numFmtId="0" fontId="55" fillId="29" borderId="0" xfId="0" applyFont="1" applyFill="1" applyBorder="1" applyAlignment="1" applyProtection="1">
      <alignment horizontal="center" vertical="center"/>
      <protection hidden="1"/>
    </xf>
    <xf numFmtId="0" fontId="55" fillId="29" borderId="29" xfId="0" applyFont="1" applyFill="1" applyBorder="1" applyAlignment="1" applyProtection="1">
      <alignment horizontal="center" vertical="center"/>
      <protection hidden="1"/>
    </xf>
    <xf numFmtId="0" fontId="49" fillId="29" borderId="28" xfId="0" applyFont="1" applyFill="1" applyBorder="1" applyAlignment="1" applyProtection="1">
      <alignment horizontal="center" vertical="center" wrapText="1"/>
      <protection hidden="1"/>
    </xf>
    <xf numFmtId="0" fontId="49" fillId="29" borderId="0" xfId="0" applyFont="1" applyFill="1" applyBorder="1" applyAlignment="1" applyProtection="1">
      <alignment horizontal="center" vertical="center"/>
      <protection hidden="1"/>
    </xf>
    <xf numFmtId="0" fontId="49" fillId="29" borderId="29" xfId="0" applyFont="1" applyFill="1" applyBorder="1" applyAlignment="1" applyProtection="1">
      <alignment horizontal="center" vertical="center"/>
      <protection hidden="1"/>
    </xf>
    <xf numFmtId="0" fontId="49" fillId="29" borderId="28" xfId="0" applyFont="1" applyFill="1" applyBorder="1" applyAlignment="1" applyProtection="1">
      <alignment horizontal="center" vertical="center"/>
      <protection hidden="1"/>
    </xf>
    <xf numFmtId="0" fontId="43" fillId="28" borderId="0" xfId="0" applyFont="1" applyFill="1" applyBorder="1" applyAlignment="1">
      <alignment horizontal="left" vertical="center"/>
    </xf>
    <xf numFmtId="0" fontId="42" fillId="28" borderId="0" xfId="0" applyFont="1" applyFill="1" applyAlignment="1">
      <alignment horizontal="center" vertical="center" wrapText="1"/>
    </xf>
    <xf numFmtId="0" fontId="42" fillId="28" borderId="0" xfId="0" applyFont="1" applyFill="1" applyAlignment="1">
      <alignment horizontal="center" vertical="center"/>
    </xf>
    <xf numFmtId="0" fontId="29" fillId="32" borderId="0" xfId="0" applyFont="1" applyFill="1" applyAlignment="1">
      <alignment horizontal="center" vertical="center" wrapText="1"/>
    </xf>
    <xf numFmtId="180" fontId="55" fillId="28" borderId="0" xfId="0" applyNumberFormat="1" applyFont="1" applyFill="1" applyAlignment="1">
      <alignment horizontal="center" vertical="center" wrapText="1"/>
    </xf>
    <xf numFmtId="183" fontId="53" fillId="28" borderId="23" xfId="0" applyNumberFormat="1" applyFont="1" applyFill="1" applyBorder="1" applyAlignment="1">
      <alignment horizontal="left" vertical="center"/>
    </xf>
    <xf numFmtId="0" fontId="27" fillId="28" borderId="0" xfId="0" applyFont="1" applyFill="1" applyBorder="1" applyAlignment="1">
      <alignment horizontal="left" vertical="center"/>
    </xf>
    <xf numFmtId="0" fontId="26" fillId="28" borderId="0" xfId="0" applyFont="1" applyFill="1" applyAlignment="1">
      <alignment horizontal="center" vertical="center" wrapText="1"/>
    </xf>
    <xf numFmtId="0" fontId="29" fillId="32" borderId="0" xfId="0" applyNumberFormat="1" applyFont="1" applyFill="1" applyAlignment="1">
      <alignment horizontal="center" vertical="center" wrapText="1"/>
    </xf>
    <xf numFmtId="0" fontId="55" fillId="28" borderId="0" xfId="0" applyNumberFormat="1" applyFont="1" applyFill="1" applyAlignment="1">
      <alignment horizontal="center" vertical="center" wrapText="1"/>
    </xf>
    <xf numFmtId="183" fontId="51" fillId="28" borderId="23" xfId="0" applyNumberFormat="1" applyFont="1" applyFill="1" applyBorder="1" applyAlignment="1">
      <alignment horizontal="center" vertical="center"/>
    </xf>
    <xf numFmtId="183" fontId="56" fillId="28" borderId="23" xfId="0" applyNumberFormat="1" applyFont="1" applyFill="1" applyBorder="1" applyAlignment="1" applyProtection="1">
      <alignment horizontal="center" vertical="center"/>
      <protection hidden="1"/>
    </xf>
    <xf numFmtId="0" fontId="42" fillId="28" borderId="0" xfId="0" applyFont="1" applyFill="1" applyAlignment="1" applyProtection="1">
      <alignment horizontal="center" vertical="center" wrapText="1"/>
      <protection hidden="1"/>
    </xf>
    <xf numFmtId="0" fontId="27" fillId="24" borderId="0" xfId="0" applyFont="1" applyFill="1" applyAlignment="1" applyProtection="1">
      <alignment horizontal="center" vertical="center" wrapText="1"/>
      <protection hidden="1"/>
    </xf>
    <xf numFmtId="181" fontId="52" fillId="28" borderId="0" xfId="0" applyNumberFormat="1" applyFont="1" applyFill="1" applyAlignment="1" applyProtection="1">
      <alignment horizontal="center" vertical="center" wrapText="1"/>
      <protection hidden="1"/>
    </xf>
    <xf numFmtId="181" fontId="56" fillId="28" borderId="23" xfId="0" applyNumberFormat="1" applyFont="1" applyFill="1" applyBorder="1" applyAlignment="1" applyProtection="1">
      <alignment horizontal="left" vertical="center"/>
      <protection hidden="1"/>
    </xf>
    <xf numFmtId="183" fontId="51" fillId="28" borderId="23" xfId="0" applyNumberFormat="1" applyFont="1" applyFill="1" applyBorder="1" applyAlignment="1" applyProtection="1">
      <alignment horizontal="center" vertical="center"/>
      <protection hidden="1"/>
    </xf>
    <xf numFmtId="0" fontId="29" fillId="32" borderId="0" xfId="0" applyFont="1" applyFill="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7">
    <dxf>
      <fill>
        <patternFill>
          <bgColor rgb="FFFFC7CE"/>
        </patternFill>
      </fill>
    </dxf>
    <dxf>
      <font>
        <color rgb="FF9C0006"/>
      </font>
      <fill>
        <patternFill>
          <bgColor rgb="FFFFC7CE"/>
        </patternFill>
      </fill>
    </dxf>
    <dxf>
      <font>
        <color theme="0"/>
      </font>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25</xdr:row>
      <xdr:rowOff>47625</xdr:rowOff>
    </xdr:from>
    <xdr:to>
      <xdr:col>0</xdr:col>
      <xdr:colOff>1019175</xdr:colOff>
      <xdr:row>27</xdr:row>
      <xdr:rowOff>85725</xdr:rowOff>
    </xdr:to>
    <xdr:grpSp>
      <xdr:nvGrpSpPr>
        <xdr:cNvPr id="1" name="5 Grup"/>
        <xdr:cNvGrpSpPr>
          <a:grpSpLocks/>
        </xdr:cNvGrpSpPr>
      </xdr:nvGrpSpPr>
      <xdr:grpSpPr>
        <a:xfrm>
          <a:off x="228600" y="7924800"/>
          <a:ext cx="790575" cy="68580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1</xdr:col>
      <xdr:colOff>628650</xdr:colOff>
      <xdr:row>2</xdr:row>
      <xdr:rowOff>219075</xdr:rowOff>
    </xdr:from>
    <xdr:to>
      <xdr:col>1</xdr:col>
      <xdr:colOff>1666875</xdr:colOff>
      <xdr:row>5</xdr:row>
      <xdr:rowOff>171450</xdr:rowOff>
    </xdr:to>
    <xdr:pic>
      <xdr:nvPicPr>
        <xdr:cNvPr id="4" name="irc_mi" descr="http://www.tsyd.org/resim/taf_logo(8).jpg"/>
        <xdr:cNvPicPr preferRelativeResize="1">
          <a:picLocks noChangeAspect="1"/>
        </xdr:cNvPicPr>
      </xdr:nvPicPr>
      <xdr:blipFill>
        <a:blip r:embed="rId2"/>
        <a:stretch>
          <a:fillRect/>
        </a:stretch>
      </xdr:blipFill>
      <xdr:spPr>
        <a:xfrm>
          <a:off x="2943225" y="1066800"/>
          <a:ext cx="10382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0</xdr:row>
      <xdr:rowOff>152400</xdr:rowOff>
    </xdr:from>
    <xdr:to>
      <xdr:col>2</xdr:col>
      <xdr:colOff>742950</xdr:colOff>
      <xdr:row>3</xdr:row>
      <xdr:rowOff>0</xdr:rowOff>
    </xdr:to>
    <xdr:pic>
      <xdr:nvPicPr>
        <xdr:cNvPr id="1" name="irc_mi" descr="http://www.tsyd.org/resim/taf_logo(8).jpg"/>
        <xdr:cNvPicPr preferRelativeResize="1">
          <a:picLocks noChangeAspect="1"/>
        </xdr:cNvPicPr>
      </xdr:nvPicPr>
      <xdr:blipFill>
        <a:blip r:embed="rId1"/>
        <a:stretch>
          <a:fillRect/>
        </a:stretch>
      </xdr:blipFill>
      <xdr:spPr>
        <a:xfrm>
          <a:off x="685800" y="152400"/>
          <a:ext cx="87630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171450</xdr:rowOff>
    </xdr:from>
    <xdr:to>
      <xdr:col>2</xdr:col>
      <xdr:colOff>790575</xdr:colOff>
      <xdr:row>3</xdr:row>
      <xdr:rowOff>9525</xdr:rowOff>
    </xdr:to>
    <xdr:pic>
      <xdr:nvPicPr>
        <xdr:cNvPr id="1" name="irc_mi" descr="http://www.tsyd.org/resim/taf_logo(8).jpg"/>
        <xdr:cNvPicPr preferRelativeResize="1">
          <a:picLocks noChangeAspect="1"/>
        </xdr:cNvPicPr>
      </xdr:nvPicPr>
      <xdr:blipFill>
        <a:blip r:embed="rId1"/>
        <a:stretch>
          <a:fillRect/>
        </a:stretch>
      </xdr:blipFill>
      <xdr:spPr>
        <a:xfrm>
          <a:off x="800100" y="171450"/>
          <a:ext cx="800100"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0</xdr:row>
      <xdr:rowOff>133350</xdr:rowOff>
    </xdr:from>
    <xdr:to>
      <xdr:col>1</xdr:col>
      <xdr:colOff>666750</xdr:colOff>
      <xdr:row>2</xdr:row>
      <xdr:rowOff>152400</xdr:rowOff>
    </xdr:to>
    <xdr:pic>
      <xdr:nvPicPr>
        <xdr:cNvPr id="1" name="irc_mi" descr="http://www.tsyd.org/resim/taf_logo(8).jpg"/>
        <xdr:cNvPicPr preferRelativeResize="1">
          <a:picLocks noChangeAspect="1"/>
        </xdr:cNvPicPr>
      </xdr:nvPicPr>
      <xdr:blipFill>
        <a:blip r:embed="rId1"/>
        <a:stretch>
          <a:fillRect/>
        </a:stretch>
      </xdr:blipFill>
      <xdr:spPr>
        <a:xfrm>
          <a:off x="438150" y="133350"/>
          <a:ext cx="7429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0" zoomScaleSheetLayoutView="110" zoomScalePageLayoutView="0" workbookViewId="0" topLeftCell="A24">
      <selection activeCell="K30" sqref="K30"/>
    </sheetView>
  </sheetViews>
  <sheetFormatPr defaultColWidth="9.00390625" defaultRowHeight="12.75"/>
  <cols>
    <col min="1" max="2" width="30.375" style="59" customWidth="1"/>
    <col min="3" max="3" width="30.875" style="59" customWidth="1"/>
    <col min="4" max="12" width="6.75390625" style="59" customWidth="1"/>
    <col min="13" max="16384" width="9.125" style="59" customWidth="1"/>
  </cols>
  <sheetData>
    <row r="1" spans="1:3" ht="24" customHeight="1">
      <c r="A1" s="153"/>
      <c r="B1" s="154"/>
      <c r="C1" s="155"/>
    </row>
    <row r="2" spans="1:5" ht="42.75" customHeight="1">
      <c r="A2" s="156" t="s">
        <v>31</v>
      </c>
      <c r="B2" s="157"/>
      <c r="C2" s="158"/>
      <c r="D2" s="60"/>
      <c r="E2" s="60"/>
    </row>
    <row r="3" spans="1:5" ht="24.75" customHeight="1">
      <c r="A3" s="159"/>
      <c r="B3" s="160"/>
      <c r="C3" s="161"/>
      <c r="D3" s="61"/>
      <c r="E3" s="61"/>
    </row>
    <row r="4" spans="1:3" s="62" customFormat="1" ht="24.75" customHeight="1">
      <c r="A4" s="63"/>
      <c r="B4" s="64"/>
      <c r="C4" s="65"/>
    </row>
    <row r="5" spans="1:3" s="62" customFormat="1" ht="24.75" customHeight="1">
      <c r="A5" s="63"/>
      <c r="B5" s="64"/>
      <c r="C5" s="65"/>
    </row>
    <row r="6" spans="1:3" s="62" customFormat="1" ht="24.75" customHeight="1">
      <c r="A6" s="63"/>
      <c r="B6" s="64"/>
      <c r="C6" s="65"/>
    </row>
    <row r="7" spans="1:3" s="62" customFormat="1" ht="24.75" customHeight="1">
      <c r="A7" s="63"/>
      <c r="B7" s="64"/>
      <c r="C7" s="65"/>
    </row>
    <row r="8" spans="1:3" s="62" customFormat="1" ht="24.75" customHeight="1">
      <c r="A8" s="63"/>
      <c r="B8" s="64"/>
      <c r="C8" s="65"/>
    </row>
    <row r="9" spans="1:3" ht="22.5">
      <c r="A9" s="63"/>
      <c r="B9" s="64"/>
      <c r="C9" s="65"/>
    </row>
    <row r="10" spans="1:3" ht="22.5">
      <c r="A10" s="63"/>
      <c r="B10" s="64"/>
      <c r="C10" s="65"/>
    </row>
    <row r="11" spans="1:3" ht="22.5">
      <c r="A11" s="63"/>
      <c r="B11" s="64"/>
      <c r="C11" s="65"/>
    </row>
    <row r="12" spans="1:3" ht="22.5">
      <c r="A12" s="63"/>
      <c r="B12" s="64"/>
      <c r="C12" s="65"/>
    </row>
    <row r="13" spans="1:3" ht="22.5">
      <c r="A13" s="63"/>
      <c r="B13" s="64"/>
      <c r="C13" s="65"/>
    </row>
    <row r="14" spans="1:3" ht="22.5">
      <c r="A14" s="63"/>
      <c r="B14" s="64"/>
      <c r="C14" s="65"/>
    </row>
    <row r="15" spans="1:3" ht="22.5">
      <c r="A15" s="63"/>
      <c r="B15" s="64"/>
      <c r="C15" s="65"/>
    </row>
    <row r="16" spans="1:3" ht="22.5">
      <c r="A16" s="63"/>
      <c r="B16" s="64"/>
      <c r="C16" s="65"/>
    </row>
    <row r="17" spans="1:3" ht="22.5">
      <c r="A17" s="63"/>
      <c r="B17" s="64"/>
      <c r="C17" s="65"/>
    </row>
    <row r="18" spans="1:3" ht="22.5">
      <c r="A18" s="63"/>
      <c r="B18" s="64"/>
      <c r="C18" s="65"/>
    </row>
    <row r="19" spans="1:3" ht="18" customHeight="1">
      <c r="A19" s="162" t="str">
        <f>B25</f>
        <v>Atatürk'ü Anma Kros Yarışmaları</v>
      </c>
      <c r="B19" s="163"/>
      <c r="C19" s="164"/>
    </row>
    <row r="20" spans="1:3" ht="42" customHeight="1">
      <c r="A20" s="165"/>
      <c r="B20" s="163"/>
      <c r="C20" s="164"/>
    </row>
    <row r="21" spans="1:3" ht="27">
      <c r="A21" s="66"/>
      <c r="B21" s="67" t="str">
        <f>B28</f>
        <v>Ankara</v>
      </c>
      <c r="C21" s="68"/>
    </row>
    <row r="22" spans="1:3" ht="22.5">
      <c r="A22" s="63"/>
      <c r="B22" s="69"/>
      <c r="C22" s="65"/>
    </row>
    <row r="23" spans="1:3" ht="22.5">
      <c r="A23" s="63"/>
      <c r="B23" s="69"/>
      <c r="C23" s="65"/>
    </row>
    <row r="24" spans="1:3" ht="22.5">
      <c r="A24" s="70"/>
      <c r="B24" s="71"/>
      <c r="C24" s="72"/>
    </row>
    <row r="25" spans="1:3" ht="25.5" customHeight="1">
      <c r="A25" s="73" t="s">
        <v>10</v>
      </c>
      <c r="B25" s="149" t="s">
        <v>27</v>
      </c>
      <c r="C25" s="150"/>
    </row>
    <row r="26" spans="1:3" ht="25.5" customHeight="1">
      <c r="A26" s="73" t="s">
        <v>11</v>
      </c>
      <c r="B26" s="149" t="s">
        <v>72</v>
      </c>
      <c r="C26" s="150"/>
    </row>
    <row r="27" spans="1:3" ht="25.5" customHeight="1">
      <c r="A27" s="74" t="s">
        <v>12</v>
      </c>
      <c r="B27" s="149" t="s">
        <v>32</v>
      </c>
      <c r="C27" s="150"/>
    </row>
    <row r="28" spans="1:3" ht="25.5" customHeight="1">
      <c r="A28" s="73" t="s">
        <v>13</v>
      </c>
      <c r="B28" s="149" t="s">
        <v>28</v>
      </c>
      <c r="C28" s="150"/>
    </row>
    <row r="29" spans="1:3" ht="25.5" customHeight="1">
      <c r="A29" s="75" t="s">
        <v>14</v>
      </c>
      <c r="B29" s="151">
        <v>41953.50347222222</v>
      </c>
      <c r="C29" s="152"/>
    </row>
    <row r="30" spans="1:3" ht="24" customHeight="1">
      <c r="A30" s="75" t="s">
        <v>70</v>
      </c>
      <c r="B30" s="148">
        <v>25</v>
      </c>
      <c r="C30" s="147"/>
    </row>
    <row r="31" spans="1:3" ht="24" customHeight="1">
      <c r="A31" s="75" t="s">
        <v>71</v>
      </c>
      <c r="B31" s="148">
        <v>3</v>
      </c>
      <c r="C31" s="147"/>
    </row>
    <row r="32" spans="1:3" ht="24" customHeight="1">
      <c r="A32" s="76"/>
      <c r="B32" s="77"/>
      <c r="C32" s="78"/>
    </row>
    <row r="33" spans="1:3" ht="24" customHeight="1" thickBot="1">
      <c r="A33" s="79"/>
      <c r="B33" s="80"/>
      <c r="C33" s="81"/>
    </row>
  </sheetData>
  <sheetProtection/>
  <mergeCells count="9">
    <mergeCell ref="B26:C26"/>
    <mergeCell ref="B27:C27"/>
    <mergeCell ref="B28:C28"/>
    <mergeCell ref="B29:C29"/>
    <mergeCell ref="A1:C1"/>
    <mergeCell ref="A2:C2"/>
    <mergeCell ref="A3:C3"/>
    <mergeCell ref="A19:C20"/>
    <mergeCell ref="B25:C25"/>
  </mergeCells>
  <printOptions horizontalCentered="1" verticalCentered="1"/>
  <pageMargins left="0.6692913385826772" right="0.2362204724409449" top="0.4724409448818898" bottom="0.2755905511811024" header="0.31496062992125984" footer="0.1574803149606299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L305"/>
  <sheetViews>
    <sheetView view="pageBreakPreview" zoomScaleSheetLayoutView="100" zoomScalePageLayoutView="0" workbookViewId="0" topLeftCell="A1">
      <selection activeCell="C12" sqref="C12"/>
    </sheetView>
  </sheetViews>
  <sheetFormatPr defaultColWidth="9.00390625" defaultRowHeight="12.75"/>
  <cols>
    <col min="1" max="1" width="4.375" style="13" bestFit="1" customWidth="1"/>
    <col min="2" max="2" width="6.375" style="13" bestFit="1" customWidth="1"/>
    <col min="3" max="3" width="30.75390625" style="14" customWidth="1"/>
    <col min="4" max="4" width="35.75390625" style="14" customWidth="1"/>
    <col min="5" max="5" width="6.75390625" style="13" customWidth="1"/>
    <col min="6" max="6" width="15.125" style="15" customWidth="1"/>
    <col min="7" max="7" width="17.125" style="10" customWidth="1"/>
    <col min="8" max="16384" width="9.125" style="10" customWidth="1"/>
  </cols>
  <sheetData>
    <row r="1" spans="1:6" ht="31.5" customHeight="1">
      <c r="A1" s="167" t="str">
        <f>KAPAK!A2</f>
        <v>Türkiye Atletizm Federasyonu
Ankara Atletizm İl Temsilciliği</v>
      </c>
      <c r="B1" s="168"/>
      <c r="C1" s="168"/>
      <c r="D1" s="168"/>
      <c r="E1" s="168"/>
      <c r="F1" s="168"/>
    </row>
    <row r="2" spans="1:6" ht="22.5" customHeight="1">
      <c r="A2" s="169" t="str">
        <f>KAPAK!B25</f>
        <v>Atatürk'ü Anma Kros Yarışmaları</v>
      </c>
      <c r="B2" s="169"/>
      <c r="C2" s="169"/>
      <c r="D2" s="169"/>
      <c r="E2" s="169"/>
      <c r="F2" s="169"/>
    </row>
    <row r="3" spans="1:6" ht="15.75">
      <c r="A3" s="170" t="str">
        <f>KAPAK!B28</f>
        <v>Ankara</v>
      </c>
      <c r="B3" s="170"/>
      <c r="C3" s="170"/>
      <c r="D3" s="170"/>
      <c r="E3" s="170"/>
      <c r="F3" s="170"/>
    </row>
    <row r="4" spans="1:6" ht="14.25">
      <c r="A4" s="166" t="str">
        <f>KAPAK!B27</f>
        <v>Üniversiteli Erkekler</v>
      </c>
      <c r="B4" s="166"/>
      <c r="C4" s="166"/>
      <c r="D4" s="132" t="str">
        <f>KAPAK!B26</f>
        <v>6 km.</v>
      </c>
      <c r="E4" s="171">
        <f>KAPAK!B29</f>
        <v>41953.50347222222</v>
      </c>
      <c r="F4" s="171"/>
    </row>
    <row r="5" spans="1:12" s="11" customFormat="1" ht="31.5" customHeight="1" thickBot="1">
      <c r="A5" s="133" t="s">
        <v>0</v>
      </c>
      <c r="B5" s="133" t="s">
        <v>1</v>
      </c>
      <c r="C5" s="134" t="s">
        <v>3</v>
      </c>
      <c r="D5" s="133" t="s">
        <v>29</v>
      </c>
      <c r="E5" s="133" t="s">
        <v>8</v>
      </c>
      <c r="F5" s="135" t="s">
        <v>2</v>
      </c>
      <c r="H5" s="12"/>
      <c r="I5" s="12"/>
      <c r="J5" s="12"/>
      <c r="K5" s="12"/>
      <c r="L5" s="12"/>
    </row>
    <row r="6" spans="1:6" ht="18" customHeight="1">
      <c r="A6" s="82">
        <v>1</v>
      </c>
      <c r="B6" s="83">
        <v>451</v>
      </c>
      <c r="C6" s="84" t="s">
        <v>33</v>
      </c>
      <c r="D6" s="84" t="s">
        <v>34</v>
      </c>
      <c r="E6" s="83" t="s">
        <v>35</v>
      </c>
      <c r="F6" s="85">
        <v>32735</v>
      </c>
    </row>
    <row r="7" spans="1:6" ht="18" customHeight="1">
      <c r="A7" s="86">
        <v>2</v>
      </c>
      <c r="B7" s="87">
        <v>452</v>
      </c>
      <c r="C7" s="88" t="s">
        <v>36</v>
      </c>
      <c r="D7" s="88" t="s">
        <v>34</v>
      </c>
      <c r="E7" s="89" t="s">
        <v>35</v>
      </c>
      <c r="F7" s="90">
        <v>32406</v>
      </c>
    </row>
    <row r="8" spans="1:6" ht="18" customHeight="1">
      <c r="A8" s="86">
        <v>3</v>
      </c>
      <c r="B8" s="87">
        <v>453</v>
      </c>
      <c r="C8" s="88" t="s">
        <v>37</v>
      </c>
      <c r="D8" s="88" t="s">
        <v>34</v>
      </c>
      <c r="E8" s="89" t="s">
        <v>35</v>
      </c>
      <c r="F8" s="90">
        <v>34553</v>
      </c>
    </row>
    <row r="9" spans="1:6" ht="18" customHeight="1">
      <c r="A9" s="86">
        <v>4</v>
      </c>
      <c r="B9" s="87">
        <v>454</v>
      </c>
      <c r="C9" s="88" t="s">
        <v>38</v>
      </c>
      <c r="D9" s="88" t="s">
        <v>34</v>
      </c>
      <c r="E9" s="89" t="s">
        <v>35</v>
      </c>
      <c r="F9" s="90">
        <v>35065</v>
      </c>
    </row>
    <row r="10" spans="1:6" ht="18" customHeight="1">
      <c r="A10" s="86">
        <v>5</v>
      </c>
      <c r="B10" s="91">
        <v>455</v>
      </c>
      <c r="C10" s="92" t="s">
        <v>39</v>
      </c>
      <c r="D10" s="92" t="s">
        <v>34</v>
      </c>
      <c r="E10" s="93" t="s">
        <v>35</v>
      </c>
      <c r="F10" s="94">
        <v>35519</v>
      </c>
    </row>
    <row r="11" spans="1:6" ht="18" customHeight="1">
      <c r="A11" s="86">
        <v>6</v>
      </c>
      <c r="B11" s="83">
        <v>456</v>
      </c>
      <c r="C11" s="84" t="s">
        <v>40</v>
      </c>
      <c r="D11" s="84" t="s">
        <v>41</v>
      </c>
      <c r="E11" s="95" t="s">
        <v>35</v>
      </c>
      <c r="F11" s="85">
        <v>33188</v>
      </c>
    </row>
    <row r="12" spans="1:6" ht="18" customHeight="1">
      <c r="A12" s="86">
        <v>7</v>
      </c>
      <c r="B12" s="87">
        <v>457</v>
      </c>
      <c r="C12" s="88" t="s">
        <v>42</v>
      </c>
      <c r="D12" s="88" t="s">
        <v>41</v>
      </c>
      <c r="E12" s="89" t="s">
        <v>35</v>
      </c>
      <c r="F12" s="90">
        <v>33241</v>
      </c>
    </row>
    <row r="13" spans="1:6" ht="18" customHeight="1">
      <c r="A13" s="86">
        <v>8</v>
      </c>
      <c r="B13" s="87">
        <v>458</v>
      </c>
      <c r="C13" s="88" t="s">
        <v>43</v>
      </c>
      <c r="D13" s="88" t="s">
        <v>41</v>
      </c>
      <c r="E13" s="89" t="s">
        <v>35</v>
      </c>
      <c r="F13" s="90">
        <v>34379</v>
      </c>
    </row>
    <row r="14" spans="1:6" ht="18" customHeight="1">
      <c r="A14" s="86">
        <v>9</v>
      </c>
      <c r="B14" s="87">
        <v>459</v>
      </c>
      <c r="C14" s="88" t="s">
        <v>44</v>
      </c>
      <c r="D14" s="88" t="s">
        <v>41</v>
      </c>
      <c r="E14" s="89" t="s">
        <v>35</v>
      </c>
      <c r="F14" s="90">
        <v>34957</v>
      </c>
    </row>
    <row r="15" spans="1:6" ht="18" customHeight="1">
      <c r="A15" s="86">
        <v>10</v>
      </c>
      <c r="B15" s="91">
        <v>460</v>
      </c>
      <c r="C15" s="92" t="s">
        <v>45</v>
      </c>
      <c r="D15" s="92" t="s">
        <v>41</v>
      </c>
      <c r="E15" s="93" t="s">
        <v>35</v>
      </c>
      <c r="F15" s="94">
        <v>33664</v>
      </c>
    </row>
    <row r="16" spans="1:6" ht="18" customHeight="1">
      <c r="A16" s="86">
        <v>11</v>
      </c>
      <c r="B16" s="83">
        <v>461</v>
      </c>
      <c r="C16" s="84" t="s">
        <v>46</v>
      </c>
      <c r="D16" s="84" t="s">
        <v>47</v>
      </c>
      <c r="E16" s="95" t="s">
        <v>35</v>
      </c>
      <c r="F16" s="85">
        <v>34486</v>
      </c>
    </row>
    <row r="17" spans="1:6" ht="18" customHeight="1">
      <c r="A17" s="86">
        <v>12</v>
      </c>
      <c r="B17" s="87">
        <v>462</v>
      </c>
      <c r="C17" s="88" t="s">
        <v>48</v>
      </c>
      <c r="D17" s="88" t="s">
        <v>47</v>
      </c>
      <c r="E17" s="87" t="s">
        <v>35</v>
      </c>
      <c r="F17" s="90">
        <v>34276</v>
      </c>
    </row>
    <row r="18" spans="1:6" ht="18" customHeight="1">
      <c r="A18" s="86">
        <v>13</v>
      </c>
      <c r="B18" s="87">
        <v>463</v>
      </c>
      <c r="C18" s="88" t="s">
        <v>49</v>
      </c>
      <c r="D18" s="88" t="s">
        <v>47</v>
      </c>
      <c r="E18" s="87" t="s">
        <v>35</v>
      </c>
      <c r="F18" s="90">
        <v>34600</v>
      </c>
    </row>
    <row r="19" spans="1:6" ht="18" customHeight="1">
      <c r="A19" s="86">
        <v>14</v>
      </c>
      <c r="B19" s="87">
        <v>464</v>
      </c>
      <c r="C19" s="88" t="s">
        <v>50</v>
      </c>
      <c r="D19" s="88" t="s">
        <v>47</v>
      </c>
      <c r="E19" s="87" t="s">
        <v>35</v>
      </c>
      <c r="F19" s="90">
        <v>34986</v>
      </c>
    </row>
    <row r="20" spans="1:6" ht="18" customHeight="1">
      <c r="A20" s="86">
        <v>15</v>
      </c>
      <c r="B20" s="91">
        <v>465</v>
      </c>
      <c r="C20" s="92" t="s">
        <v>51</v>
      </c>
      <c r="D20" s="92" t="s">
        <v>47</v>
      </c>
      <c r="E20" s="93" t="s">
        <v>35</v>
      </c>
      <c r="F20" s="94">
        <v>34066</v>
      </c>
    </row>
    <row r="21" spans="1:6" ht="18" customHeight="1">
      <c r="A21" s="86">
        <v>16</v>
      </c>
      <c r="B21" s="83"/>
      <c r="C21" s="84"/>
      <c r="D21" s="84"/>
      <c r="E21" s="95"/>
      <c r="F21" s="85"/>
    </row>
    <row r="22" spans="1:6" ht="18" customHeight="1">
      <c r="A22" s="86">
        <v>17</v>
      </c>
      <c r="B22" s="87"/>
      <c r="C22" s="88"/>
      <c r="D22" s="88"/>
      <c r="E22" s="89"/>
      <c r="F22" s="90"/>
    </row>
    <row r="23" spans="1:6" ht="18" customHeight="1">
      <c r="A23" s="86">
        <v>18</v>
      </c>
      <c r="B23" s="87"/>
      <c r="C23" s="88"/>
      <c r="D23" s="88"/>
      <c r="E23" s="89"/>
      <c r="F23" s="90"/>
    </row>
    <row r="24" spans="1:6" ht="18" customHeight="1">
      <c r="A24" s="86">
        <v>19</v>
      </c>
      <c r="B24" s="87"/>
      <c r="C24" s="88"/>
      <c r="D24" s="88"/>
      <c r="E24" s="89"/>
      <c r="F24" s="90"/>
    </row>
    <row r="25" spans="1:6" ht="18" customHeight="1">
      <c r="A25" s="86">
        <v>20</v>
      </c>
      <c r="B25" s="91"/>
      <c r="C25" s="92"/>
      <c r="D25" s="92"/>
      <c r="E25" s="96"/>
      <c r="F25" s="94"/>
    </row>
    <row r="26" spans="1:6" ht="18" customHeight="1">
      <c r="A26" s="86">
        <v>21</v>
      </c>
      <c r="B26" s="83">
        <v>571</v>
      </c>
      <c r="C26" s="84" t="s">
        <v>52</v>
      </c>
      <c r="D26" s="84" t="s">
        <v>53</v>
      </c>
      <c r="E26" s="83" t="s">
        <v>54</v>
      </c>
      <c r="F26" s="85">
        <v>33526</v>
      </c>
    </row>
    <row r="27" spans="1:6" ht="18" customHeight="1">
      <c r="A27" s="86">
        <v>22</v>
      </c>
      <c r="B27" s="87">
        <v>572</v>
      </c>
      <c r="C27" s="88" t="s">
        <v>55</v>
      </c>
      <c r="D27" s="88" t="s">
        <v>56</v>
      </c>
      <c r="E27" s="87" t="s">
        <v>54</v>
      </c>
      <c r="F27" s="90">
        <v>30682</v>
      </c>
    </row>
    <row r="28" spans="1:6" ht="18" customHeight="1">
      <c r="A28" s="86">
        <v>23</v>
      </c>
      <c r="B28" s="87">
        <v>573</v>
      </c>
      <c r="C28" s="88" t="s">
        <v>57</v>
      </c>
      <c r="D28" s="88" t="s">
        <v>58</v>
      </c>
      <c r="E28" s="87" t="s">
        <v>54</v>
      </c>
      <c r="F28" s="90">
        <v>35264</v>
      </c>
    </row>
    <row r="29" spans="1:6" ht="18" customHeight="1">
      <c r="A29" s="86">
        <v>24</v>
      </c>
      <c r="B29" s="87">
        <v>574</v>
      </c>
      <c r="C29" s="88" t="s">
        <v>59</v>
      </c>
      <c r="D29" s="88" t="s">
        <v>60</v>
      </c>
      <c r="E29" s="87" t="s">
        <v>54</v>
      </c>
      <c r="F29" s="90">
        <v>33425</v>
      </c>
    </row>
    <row r="30" spans="1:6" ht="18" customHeight="1">
      <c r="A30" s="86">
        <v>25</v>
      </c>
      <c r="B30" s="91">
        <v>575</v>
      </c>
      <c r="C30" s="92" t="s">
        <v>61</v>
      </c>
      <c r="D30" s="92" t="s">
        <v>62</v>
      </c>
      <c r="E30" s="96" t="s">
        <v>54</v>
      </c>
      <c r="F30" s="94">
        <v>35319</v>
      </c>
    </row>
    <row r="31" spans="1:6" ht="18" customHeight="1">
      <c r="A31" s="86">
        <v>26</v>
      </c>
      <c r="B31" s="83">
        <v>576</v>
      </c>
      <c r="C31" s="84" t="s">
        <v>63</v>
      </c>
      <c r="D31" s="84" t="s">
        <v>64</v>
      </c>
      <c r="E31" s="83" t="s">
        <v>54</v>
      </c>
      <c r="F31" s="85">
        <v>33476</v>
      </c>
    </row>
    <row r="32" spans="1:6" ht="18" customHeight="1">
      <c r="A32" s="86">
        <v>27</v>
      </c>
      <c r="B32" s="87">
        <v>577</v>
      </c>
      <c r="C32" s="88" t="s">
        <v>65</v>
      </c>
      <c r="D32" s="88" t="s">
        <v>66</v>
      </c>
      <c r="E32" s="87" t="s">
        <v>54</v>
      </c>
      <c r="F32" s="90">
        <v>34746</v>
      </c>
    </row>
    <row r="33" spans="1:6" ht="18" customHeight="1">
      <c r="A33" s="86">
        <v>28</v>
      </c>
      <c r="B33" s="87">
        <v>578</v>
      </c>
      <c r="C33" s="88" t="s">
        <v>67</v>
      </c>
      <c r="D33" s="88" t="s">
        <v>66</v>
      </c>
      <c r="E33" s="87" t="s">
        <v>54</v>
      </c>
      <c r="F33" s="90">
        <v>34625</v>
      </c>
    </row>
    <row r="34" spans="1:6" ht="18" customHeight="1">
      <c r="A34" s="86">
        <v>29</v>
      </c>
      <c r="B34" s="87">
        <v>579</v>
      </c>
      <c r="C34" s="88" t="s">
        <v>68</v>
      </c>
      <c r="D34" s="88" t="s">
        <v>66</v>
      </c>
      <c r="E34" s="87" t="s">
        <v>54</v>
      </c>
      <c r="F34" s="90">
        <v>34442</v>
      </c>
    </row>
    <row r="35" spans="1:6" ht="18" customHeight="1">
      <c r="A35" s="86">
        <v>30</v>
      </c>
      <c r="B35" s="87">
        <v>580</v>
      </c>
      <c r="C35" s="88" t="s">
        <v>69</v>
      </c>
      <c r="D35" s="88" t="s">
        <v>66</v>
      </c>
      <c r="E35" s="87" t="s">
        <v>54</v>
      </c>
      <c r="F35" s="90">
        <v>34531</v>
      </c>
    </row>
    <row r="36" spans="1:6" ht="18" customHeight="1">
      <c r="A36" s="86">
        <v>31</v>
      </c>
      <c r="B36" s="87"/>
      <c r="C36" s="88"/>
      <c r="D36" s="88"/>
      <c r="E36" s="87"/>
      <c r="F36" s="90"/>
    </row>
    <row r="37" spans="1:6" ht="18" customHeight="1">
      <c r="A37" s="86">
        <v>32</v>
      </c>
      <c r="B37" s="87"/>
      <c r="C37" s="88"/>
      <c r="D37" s="88"/>
      <c r="E37" s="87"/>
      <c r="F37" s="90"/>
    </row>
    <row r="38" spans="1:6" ht="18" customHeight="1">
      <c r="A38" s="86">
        <v>33</v>
      </c>
      <c r="B38" s="87"/>
      <c r="C38" s="88"/>
      <c r="D38" s="88"/>
      <c r="E38" s="87"/>
      <c r="F38" s="90"/>
    </row>
    <row r="39" spans="1:6" ht="18" customHeight="1">
      <c r="A39" s="86">
        <v>34</v>
      </c>
      <c r="B39" s="87"/>
      <c r="C39" s="88"/>
      <c r="D39" s="88"/>
      <c r="E39" s="87"/>
      <c r="F39" s="90"/>
    </row>
    <row r="40" spans="1:6" ht="18" customHeight="1">
      <c r="A40" s="86">
        <v>35</v>
      </c>
      <c r="B40" s="87"/>
      <c r="C40" s="88"/>
      <c r="D40" s="88"/>
      <c r="E40" s="87"/>
      <c r="F40" s="90"/>
    </row>
    <row r="41" spans="1:6" ht="18" customHeight="1">
      <c r="A41" s="86">
        <v>36</v>
      </c>
      <c r="B41" s="87"/>
      <c r="C41" s="88"/>
      <c r="D41" s="88"/>
      <c r="E41" s="87"/>
      <c r="F41" s="90"/>
    </row>
    <row r="42" spans="1:6" ht="18" customHeight="1">
      <c r="A42" s="86">
        <v>37</v>
      </c>
      <c r="B42" s="87"/>
      <c r="C42" s="88"/>
      <c r="D42" s="88"/>
      <c r="E42" s="87"/>
      <c r="F42" s="90"/>
    </row>
    <row r="43" spans="1:6" ht="18" customHeight="1">
      <c r="A43" s="86">
        <v>38</v>
      </c>
      <c r="B43" s="87"/>
      <c r="C43" s="88"/>
      <c r="D43" s="88"/>
      <c r="E43" s="87"/>
      <c r="F43" s="90"/>
    </row>
    <row r="44" spans="1:6" ht="18" customHeight="1">
      <c r="A44" s="86">
        <v>39</v>
      </c>
      <c r="B44" s="87"/>
      <c r="C44" s="88"/>
      <c r="D44" s="88"/>
      <c r="E44" s="87"/>
      <c r="F44" s="90"/>
    </row>
    <row r="45" spans="1:6" ht="18" customHeight="1">
      <c r="A45" s="86">
        <v>40</v>
      </c>
      <c r="B45" s="91"/>
      <c r="C45" s="92"/>
      <c r="D45" s="92"/>
      <c r="E45" s="96"/>
      <c r="F45" s="94"/>
    </row>
    <row r="46" spans="1:6" ht="18" customHeight="1">
      <c r="A46" s="86">
        <v>41</v>
      </c>
      <c r="B46" s="83"/>
      <c r="C46" s="84"/>
      <c r="D46" s="84"/>
      <c r="E46" s="83"/>
      <c r="F46" s="85"/>
    </row>
    <row r="47" spans="1:6" ht="18" customHeight="1">
      <c r="A47" s="86">
        <v>42</v>
      </c>
      <c r="B47" s="87"/>
      <c r="C47" s="88"/>
      <c r="D47" s="88"/>
      <c r="E47" s="87"/>
      <c r="F47" s="90"/>
    </row>
    <row r="48" spans="1:6" ht="18" customHeight="1">
      <c r="A48" s="86">
        <v>43</v>
      </c>
      <c r="B48" s="87"/>
      <c r="C48" s="88"/>
      <c r="D48" s="88"/>
      <c r="E48" s="87"/>
      <c r="F48" s="90"/>
    </row>
    <row r="49" spans="1:6" ht="18" customHeight="1">
      <c r="A49" s="86">
        <v>44</v>
      </c>
      <c r="B49" s="87"/>
      <c r="C49" s="88"/>
      <c r="D49" s="88"/>
      <c r="E49" s="87"/>
      <c r="F49" s="90"/>
    </row>
    <row r="50" spans="1:6" ht="18" customHeight="1">
      <c r="A50" s="86">
        <v>45</v>
      </c>
      <c r="B50" s="91"/>
      <c r="C50" s="92"/>
      <c r="D50" s="92"/>
      <c r="E50" s="96"/>
      <c r="F50" s="94"/>
    </row>
    <row r="51" spans="1:6" ht="18" customHeight="1">
      <c r="A51" s="86">
        <v>46</v>
      </c>
      <c r="B51" s="83"/>
      <c r="C51" s="84"/>
      <c r="D51" s="84"/>
      <c r="E51" s="83"/>
      <c r="F51" s="85"/>
    </row>
    <row r="52" spans="1:6" ht="18" customHeight="1">
      <c r="A52" s="86">
        <v>47</v>
      </c>
      <c r="B52" s="87"/>
      <c r="C52" s="88"/>
      <c r="D52" s="88"/>
      <c r="E52" s="87"/>
      <c r="F52" s="90"/>
    </row>
    <row r="53" spans="1:6" ht="18" customHeight="1">
      <c r="A53" s="86">
        <v>48</v>
      </c>
      <c r="B53" s="87"/>
      <c r="C53" s="88"/>
      <c r="D53" s="88"/>
      <c r="E53" s="87"/>
      <c r="F53" s="90"/>
    </row>
    <row r="54" spans="1:6" ht="18" customHeight="1">
      <c r="A54" s="86">
        <v>49</v>
      </c>
      <c r="B54" s="87"/>
      <c r="C54" s="88"/>
      <c r="D54" s="88"/>
      <c r="E54" s="87"/>
      <c r="F54" s="90"/>
    </row>
    <row r="55" spans="1:6" ht="18" customHeight="1">
      <c r="A55" s="86">
        <v>50</v>
      </c>
      <c r="B55" s="91"/>
      <c r="C55" s="92"/>
      <c r="D55" s="92"/>
      <c r="E55" s="96"/>
      <c r="F55" s="94"/>
    </row>
    <row r="56" spans="1:6" ht="18" customHeight="1">
      <c r="A56" s="86">
        <v>51</v>
      </c>
      <c r="B56" s="83"/>
      <c r="C56" s="84"/>
      <c r="D56" s="84"/>
      <c r="E56" s="83"/>
      <c r="F56" s="85"/>
    </row>
    <row r="57" spans="1:6" ht="18" customHeight="1">
      <c r="A57" s="86">
        <v>52</v>
      </c>
      <c r="B57" s="87"/>
      <c r="C57" s="88"/>
      <c r="D57" s="88"/>
      <c r="E57" s="87"/>
      <c r="F57" s="90"/>
    </row>
    <row r="58" spans="1:6" ht="18" customHeight="1">
      <c r="A58" s="86">
        <v>53</v>
      </c>
      <c r="B58" s="87"/>
      <c r="C58" s="88"/>
      <c r="D58" s="88"/>
      <c r="E58" s="87"/>
      <c r="F58" s="90"/>
    </row>
    <row r="59" spans="1:6" ht="18" customHeight="1">
      <c r="A59" s="86">
        <v>54</v>
      </c>
      <c r="B59" s="87"/>
      <c r="C59" s="88"/>
      <c r="D59" s="88"/>
      <c r="E59" s="87"/>
      <c r="F59" s="90"/>
    </row>
    <row r="60" spans="1:6" ht="18" customHeight="1">
      <c r="A60" s="86">
        <v>55</v>
      </c>
      <c r="B60" s="91"/>
      <c r="C60" s="92"/>
      <c r="D60" s="92"/>
      <c r="E60" s="96"/>
      <c r="F60" s="94"/>
    </row>
    <row r="61" spans="1:6" ht="18" customHeight="1">
      <c r="A61" s="86">
        <v>56</v>
      </c>
      <c r="B61" s="83"/>
      <c r="C61" s="84"/>
      <c r="D61" s="84"/>
      <c r="E61" s="83"/>
      <c r="F61" s="85"/>
    </row>
    <row r="62" spans="1:6" ht="18" customHeight="1">
      <c r="A62" s="86">
        <v>57</v>
      </c>
      <c r="B62" s="87"/>
      <c r="C62" s="88"/>
      <c r="D62" s="88"/>
      <c r="E62" s="87"/>
      <c r="F62" s="90"/>
    </row>
    <row r="63" spans="1:6" ht="18" customHeight="1">
      <c r="A63" s="86">
        <v>58</v>
      </c>
      <c r="B63" s="87"/>
      <c r="C63" s="88"/>
      <c r="D63" s="88"/>
      <c r="E63" s="87"/>
      <c r="F63" s="90"/>
    </row>
    <row r="64" spans="1:6" ht="18" customHeight="1">
      <c r="A64" s="86">
        <v>59</v>
      </c>
      <c r="B64" s="87"/>
      <c r="C64" s="88"/>
      <c r="D64" s="88"/>
      <c r="E64" s="87"/>
      <c r="F64" s="90"/>
    </row>
    <row r="65" spans="1:6" ht="18" customHeight="1">
      <c r="A65" s="86">
        <v>60</v>
      </c>
      <c r="B65" s="91"/>
      <c r="C65" s="92"/>
      <c r="D65" s="92"/>
      <c r="E65" s="96"/>
      <c r="F65" s="94"/>
    </row>
    <row r="66" spans="1:6" ht="18" customHeight="1">
      <c r="A66" s="86">
        <v>61</v>
      </c>
      <c r="B66" s="83"/>
      <c r="C66" s="84"/>
      <c r="D66" s="84"/>
      <c r="E66" s="83"/>
      <c r="F66" s="85"/>
    </row>
    <row r="67" spans="1:6" ht="18" customHeight="1">
      <c r="A67" s="86">
        <v>62</v>
      </c>
      <c r="B67" s="87"/>
      <c r="C67" s="88"/>
      <c r="D67" s="88"/>
      <c r="E67" s="87"/>
      <c r="F67" s="90"/>
    </row>
    <row r="68" spans="1:6" ht="18" customHeight="1">
      <c r="A68" s="86">
        <v>63</v>
      </c>
      <c r="B68" s="87"/>
      <c r="C68" s="88"/>
      <c r="D68" s="88"/>
      <c r="E68" s="87"/>
      <c r="F68" s="90"/>
    </row>
    <row r="69" spans="1:6" ht="18" customHeight="1">
      <c r="A69" s="86">
        <v>64</v>
      </c>
      <c r="B69" s="87"/>
      <c r="C69" s="88"/>
      <c r="D69" s="88"/>
      <c r="E69" s="87"/>
      <c r="F69" s="90"/>
    </row>
    <row r="70" spans="1:6" ht="18" customHeight="1">
      <c r="A70" s="86">
        <v>65</v>
      </c>
      <c r="B70" s="91"/>
      <c r="C70" s="92"/>
      <c r="D70" s="92"/>
      <c r="E70" s="96"/>
      <c r="F70" s="94"/>
    </row>
    <row r="71" spans="1:6" ht="18" customHeight="1">
      <c r="A71" s="86">
        <v>66</v>
      </c>
      <c r="B71" s="83"/>
      <c r="C71" s="84"/>
      <c r="D71" s="84"/>
      <c r="E71" s="83"/>
      <c r="F71" s="85"/>
    </row>
    <row r="72" spans="1:6" ht="18" customHeight="1">
      <c r="A72" s="86">
        <v>67</v>
      </c>
      <c r="B72" s="87"/>
      <c r="C72" s="88"/>
      <c r="D72" s="88"/>
      <c r="E72" s="87"/>
      <c r="F72" s="90"/>
    </row>
    <row r="73" spans="1:6" ht="18" customHeight="1">
      <c r="A73" s="86">
        <v>68</v>
      </c>
      <c r="B73" s="87"/>
      <c r="C73" s="88"/>
      <c r="D73" s="88"/>
      <c r="E73" s="87"/>
      <c r="F73" s="90"/>
    </row>
    <row r="74" spans="1:6" ht="18" customHeight="1">
      <c r="A74" s="86">
        <v>69</v>
      </c>
      <c r="B74" s="87"/>
      <c r="C74" s="88"/>
      <c r="D74" s="88"/>
      <c r="E74" s="87"/>
      <c r="F74" s="90"/>
    </row>
    <row r="75" spans="1:6" ht="18" customHeight="1">
      <c r="A75" s="86">
        <v>70</v>
      </c>
      <c r="B75" s="91"/>
      <c r="C75" s="92"/>
      <c r="D75" s="92"/>
      <c r="E75" s="96"/>
      <c r="F75" s="94"/>
    </row>
    <row r="76" spans="1:6" ht="18" customHeight="1">
      <c r="A76" s="86">
        <v>71</v>
      </c>
      <c r="B76" s="83"/>
      <c r="C76" s="84"/>
      <c r="D76" s="84"/>
      <c r="E76" s="83"/>
      <c r="F76" s="85"/>
    </row>
    <row r="77" spans="1:6" ht="18" customHeight="1">
      <c r="A77" s="86">
        <v>72</v>
      </c>
      <c r="B77" s="87"/>
      <c r="C77" s="88"/>
      <c r="D77" s="88"/>
      <c r="E77" s="87"/>
      <c r="F77" s="90"/>
    </row>
    <row r="78" spans="1:6" ht="18" customHeight="1">
      <c r="A78" s="86">
        <v>73</v>
      </c>
      <c r="B78" s="87"/>
      <c r="C78" s="88"/>
      <c r="D78" s="88"/>
      <c r="E78" s="87"/>
      <c r="F78" s="90"/>
    </row>
    <row r="79" spans="1:6" ht="18" customHeight="1">
      <c r="A79" s="86">
        <v>74</v>
      </c>
      <c r="B79" s="87"/>
      <c r="C79" s="88"/>
      <c r="D79" s="88"/>
      <c r="E79" s="87"/>
      <c r="F79" s="90"/>
    </row>
    <row r="80" spans="1:6" ht="18" customHeight="1">
      <c r="A80" s="86">
        <v>75</v>
      </c>
      <c r="B80" s="91"/>
      <c r="C80" s="92"/>
      <c r="D80" s="92"/>
      <c r="E80" s="96"/>
      <c r="F80" s="94"/>
    </row>
    <row r="81" spans="1:6" ht="18" customHeight="1">
      <c r="A81" s="86">
        <v>76</v>
      </c>
      <c r="B81" s="83"/>
      <c r="C81" s="84"/>
      <c r="D81" s="84"/>
      <c r="E81" s="83"/>
      <c r="F81" s="85"/>
    </row>
    <row r="82" spans="1:6" ht="18" customHeight="1">
      <c r="A82" s="86">
        <v>77</v>
      </c>
      <c r="B82" s="87"/>
      <c r="C82" s="88"/>
      <c r="D82" s="88"/>
      <c r="E82" s="87"/>
      <c r="F82" s="90"/>
    </row>
    <row r="83" spans="1:6" ht="18" customHeight="1">
      <c r="A83" s="86">
        <v>78</v>
      </c>
      <c r="B83" s="87"/>
      <c r="C83" s="88"/>
      <c r="D83" s="88"/>
      <c r="E83" s="87"/>
      <c r="F83" s="90"/>
    </row>
    <row r="84" spans="1:6" ht="18" customHeight="1">
      <c r="A84" s="86">
        <v>79</v>
      </c>
      <c r="B84" s="87"/>
      <c r="C84" s="88"/>
      <c r="D84" s="88"/>
      <c r="E84" s="87"/>
      <c r="F84" s="90"/>
    </row>
    <row r="85" spans="1:6" ht="18" customHeight="1">
      <c r="A85" s="86">
        <v>80</v>
      </c>
      <c r="B85" s="91"/>
      <c r="C85" s="92"/>
      <c r="D85" s="92"/>
      <c r="E85" s="96"/>
      <c r="F85" s="94"/>
    </row>
    <row r="86" spans="1:6" ht="18" customHeight="1">
      <c r="A86" s="86">
        <v>81</v>
      </c>
      <c r="B86" s="83"/>
      <c r="C86" s="84"/>
      <c r="D86" s="84"/>
      <c r="E86" s="83"/>
      <c r="F86" s="85"/>
    </row>
    <row r="87" spans="1:6" ht="18" customHeight="1">
      <c r="A87" s="86">
        <v>82</v>
      </c>
      <c r="B87" s="87"/>
      <c r="C87" s="88"/>
      <c r="D87" s="88"/>
      <c r="E87" s="87"/>
      <c r="F87" s="90"/>
    </row>
    <row r="88" spans="1:6" ht="18" customHeight="1">
      <c r="A88" s="86">
        <v>83</v>
      </c>
      <c r="B88" s="87"/>
      <c r="C88" s="88"/>
      <c r="D88" s="88"/>
      <c r="E88" s="87"/>
      <c r="F88" s="90"/>
    </row>
    <row r="89" spans="1:6" ht="18" customHeight="1">
      <c r="A89" s="86">
        <v>84</v>
      </c>
      <c r="B89" s="87"/>
      <c r="C89" s="88"/>
      <c r="D89" s="88"/>
      <c r="E89" s="87"/>
      <c r="F89" s="90"/>
    </row>
    <row r="90" spans="1:6" ht="18" customHeight="1">
      <c r="A90" s="86">
        <v>85</v>
      </c>
      <c r="B90" s="91"/>
      <c r="C90" s="92"/>
      <c r="D90" s="92"/>
      <c r="E90" s="96"/>
      <c r="F90" s="94"/>
    </row>
    <row r="91" spans="1:6" ht="18" customHeight="1">
      <c r="A91" s="86">
        <v>86</v>
      </c>
      <c r="B91" s="83"/>
      <c r="C91" s="84"/>
      <c r="D91" s="84"/>
      <c r="E91" s="83"/>
      <c r="F91" s="85"/>
    </row>
    <row r="92" spans="1:6" ht="18" customHeight="1">
      <c r="A92" s="86">
        <v>87</v>
      </c>
      <c r="B92" s="87"/>
      <c r="C92" s="88"/>
      <c r="D92" s="88"/>
      <c r="E92" s="87"/>
      <c r="F92" s="90"/>
    </row>
    <row r="93" spans="1:6" ht="18" customHeight="1">
      <c r="A93" s="86">
        <v>88</v>
      </c>
      <c r="B93" s="87"/>
      <c r="C93" s="88"/>
      <c r="D93" s="88"/>
      <c r="E93" s="87"/>
      <c r="F93" s="90"/>
    </row>
    <row r="94" spans="1:6" ht="18" customHeight="1">
      <c r="A94" s="86">
        <v>89</v>
      </c>
      <c r="B94" s="87"/>
      <c r="C94" s="88"/>
      <c r="D94" s="88"/>
      <c r="E94" s="87"/>
      <c r="F94" s="90"/>
    </row>
    <row r="95" spans="1:6" ht="18" customHeight="1">
      <c r="A95" s="86">
        <v>90</v>
      </c>
      <c r="B95" s="91"/>
      <c r="C95" s="92"/>
      <c r="D95" s="92"/>
      <c r="E95" s="96"/>
      <c r="F95" s="94"/>
    </row>
    <row r="96" spans="1:6" ht="18" customHeight="1">
      <c r="A96" s="86">
        <v>91</v>
      </c>
      <c r="B96" s="83"/>
      <c r="C96" s="84"/>
      <c r="D96" s="84"/>
      <c r="E96" s="83"/>
      <c r="F96" s="85"/>
    </row>
    <row r="97" spans="1:6" ht="18" customHeight="1">
      <c r="A97" s="86">
        <v>92</v>
      </c>
      <c r="B97" s="87"/>
      <c r="C97" s="88"/>
      <c r="D97" s="88"/>
      <c r="E97" s="87"/>
      <c r="F97" s="90"/>
    </row>
    <row r="98" spans="1:6" ht="18" customHeight="1">
      <c r="A98" s="86">
        <v>93</v>
      </c>
      <c r="B98" s="87"/>
      <c r="C98" s="88"/>
      <c r="D98" s="88"/>
      <c r="E98" s="87"/>
      <c r="F98" s="90"/>
    </row>
    <row r="99" spans="1:6" ht="18" customHeight="1">
      <c r="A99" s="86">
        <v>94</v>
      </c>
      <c r="B99" s="87"/>
      <c r="C99" s="88"/>
      <c r="D99" s="88"/>
      <c r="E99" s="87"/>
      <c r="F99" s="90"/>
    </row>
    <row r="100" spans="1:6" ht="18" customHeight="1">
      <c r="A100" s="86">
        <v>95</v>
      </c>
      <c r="B100" s="91"/>
      <c r="C100" s="92"/>
      <c r="D100" s="92"/>
      <c r="E100" s="96"/>
      <c r="F100" s="94"/>
    </row>
    <row r="101" spans="1:6" ht="18" customHeight="1">
      <c r="A101" s="86">
        <v>96</v>
      </c>
      <c r="B101" s="83"/>
      <c r="C101" s="84"/>
      <c r="D101" s="84"/>
      <c r="E101" s="83"/>
      <c r="F101" s="85"/>
    </row>
    <row r="102" spans="1:6" ht="18" customHeight="1">
      <c r="A102" s="86">
        <v>97</v>
      </c>
      <c r="B102" s="87"/>
      <c r="C102" s="88"/>
      <c r="D102" s="88"/>
      <c r="E102" s="87"/>
      <c r="F102" s="90"/>
    </row>
    <row r="103" spans="1:6" ht="18" customHeight="1">
      <c r="A103" s="86">
        <v>98</v>
      </c>
      <c r="B103" s="87"/>
      <c r="C103" s="88"/>
      <c r="D103" s="88"/>
      <c r="E103" s="87"/>
      <c r="F103" s="90"/>
    </row>
    <row r="104" spans="1:6" ht="18" customHeight="1">
      <c r="A104" s="86">
        <v>99</v>
      </c>
      <c r="B104" s="87"/>
      <c r="C104" s="88"/>
      <c r="D104" s="88"/>
      <c r="E104" s="87"/>
      <c r="F104" s="90"/>
    </row>
    <row r="105" spans="1:6" ht="18" customHeight="1">
      <c r="A105" s="86">
        <v>100</v>
      </c>
      <c r="B105" s="91"/>
      <c r="C105" s="92"/>
      <c r="D105" s="92"/>
      <c r="E105" s="96"/>
      <c r="F105" s="94"/>
    </row>
    <row r="106" spans="1:6" ht="18" customHeight="1">
      <c r="A106" s="86">
        <v>101</v>
      </c>
      <c r="B106" s="83"/>
      <c r="C106" s="84"/>
      <c r="D106" s="84"/>
      <c r="E106" s="83"/>
      <c r="F106" s="85"/>
    </row>
    <row r="107" spans="1:6" ht="18" customHeight="1">
      <c r="A107" s="86">
        <v>102</v>
      </c>
      <c r="B107" s="87"/>
      <c r="C107" s="88"/>
      <c r="D107" s="88"/>
      <c r="E107" s="87"/>
      <c r="F107" s="90"/>
    </row>
    <row r="108" spans="1:6" ht="18" customHeight="1">
      <c r="A108" s="86">
        <v>103</v>
      </c>
      <c r="B108" s="87"/>
      <c r="C108" s="88"/>
      <c r="D108" s="88"/>
      <c r="E108" s="87"/>
      <c r="F108" s="90"/>
    </row>
    <row r="109" spans="1:6" ht="18" customHeight="1">
      <c r="A109" s="86">
        <v>104</v>
      </c>
      <c r="B109" s="87"/>
      <c r="C109" s="88"/>
      <c r="D109" s="88"/>
      <c r="E109" s="87"/>
      <c r="F109" s="90"/>
    </row>
    <row r="110" spans="1:6" ht="18" customHeight="1">
      <c r="A110" s="86">
        <v>105</v>
      </c>
      <c r="B110" s="91"/>
      <c r="C110" s="92"/>
      <c r="D110" s="92"/>
      <c r="E110" s="96"/>
      <c r="F110" s="94"/>
    </row>
    <row r="111" spans="1:6" ht="18" customHeight="1">
      <c r="A111" s="86">
        <v>106</v>
      </c>
      <c r="B111" s="83"/>
      <c r="C111" s="84"/>
      <c r="D111" s="84"/>
      <c r="E111" s="83"/>
      <c r="F111" s="85"/>
    </row>
    <row r="112" spans="1:6" ht="18" customHeight="1">
      <c r="A112" s="86">
        <v>107</v>
      </c>
      <c r="B112" s="87"/>
      <c r="C112" s="88"/>
      <c r="D112" s="88"/>
      <c r="E112" s="87"/>
      <c r="F112" s="90"/>
    </row>
    <row r="113" spans="1:6" ht="18" customHeight="1">
      <c r="A113" s="86">
        <v>108</v>
      </c>
      <c r="B113" s="87"/>
      <c r="C113" s="88"/>
      <c r="D113" s="88"/>
      <c r="E113" s="87"/>
      <c r="F113" s="90"/>
    </row>
    <row r="114" spans="1:6" ht="18" customHeight="1">
      <c r="A114" s="86">
        <v>109</v>
      </c>
      <c r="B114" s="87"/>
      <c r="C114" s="88"/>
      <c r="D114" s="88"/>
      <c r="E114" s="87"/>
      <c r="F114" s="90"/>
    </row>
    <row r="115" spans="1:6" ht="18" customHeight="1">
      <c r="A115" s="86">
        <v>110</v>
      </c>
      <c r="B115" s="91"/>
      <c r="C115" s="92"/>
      <c r="D115" s="92"/>
      <c r="E115" s="96"/>
      <c r="F115" s="94"/>
    </row>
    <row r="116" spans="1:6" ht="18" customHeight="1">
      <c r="A116" s="86">
        <v>111</v>
      </c>
      <c r="B116" s="83"/>
      <c r="C116" s="84"/>
      <c r="D116" s="84"/>
      <c r="E116" s="83"/>
      <c r="F116" s="85"/>
    </row>
    <row r="117" spans="1:6" ht="18" customHeight="1">
      <c r="A117" s="86">
        <v>112</v>
      </c>
      <c r="B117" s="87"/>
      <c r="C117" s="88"/>
      <c r="D117" s="88"/>
      <c r="E117" s="87"/>
      <c r="F117" s="90"/>
    </row>
    <row r="118" spans="1:6" ht="18" customHeight="1">
      <c r="A118" s="86">
        <v>113</v>
      </c>
      <c r="B118" s="87"/>
      <c r="C118" s="88"/>
      <c r="D118" s="88"/>
      <c r="E118" s="87"/>
      <c r="F118" s="90"/>
    </row>
    <row r="119" spans="1:6" ht="18" customHeight="1">
      <c r="A119" s="86">
        <v>114</v>
      </c>
      <c r="B119" s="87"/>
      <c r="C119" s="88"/>
      <c r="D119" s="88"/>
      <c r="E119" s="87"/>
      <c r="F119" s="90"/>
    </row>
    <row r="120" spans="1:6" ht="18" customHeight="1">
      <c r="A120" s="86">
        <v>115</v>
      </c>
      <c r="B120" s="91"/>
      <c r="C120" s="92"/>
      <c r="D120" s="92"/>
      <c r="E120" s="96"/>
      <c r="F120" s="94"/>
    </row>
    <row r="121" spans="1:6" ht="18" customHeight="1">
      <c r="A121" s="86">
        <v>116</v>
      </c>
      <c r="B121" s="83"/>
      <c r="C121" s="84"/>
      <c r="D121" s="84"/>
      <c r="E121" s="83"/>
      <c r="F121" s="85"/>
    </row>
    <row r="122" spans="1:6" ht="18" customHeight="1">
      <c r="A122" s="86">
        <v>117</v>
      </c>
      <c r="B122" s="87"/>
      <c r="C122" s="88"/>
      <c r="D122" s="88"/>
      <c r="E122" s="87"/>
      <c r="F122" s="90"/>
    </row>
    <row r="123" spans="1:6" ht="18" customHeight="1">
      <c r="A123" s="86">
        <v>118</v>
      </c>
      <c r="B123" s="87"/>
      <c r="C123" s="88"/>
      <c r="D123" s="88"/>
      <c r="E123" s="87"/>
      <c r="F123" s="90"/>
    </row>
    <row r="124" spans="1:6" ht="18" customHeight="1">
      <c r="A124" s="86">
        <v>119</v>
      </c>
      <c r="B124" s="87"/>
      <c r="C124" s="88"/>
      <c r="D124" s="88"/>
      <c r="E124" s="87"/>
      <c r="F124" s="90"/>
    </row>
    <row r="125" spans="1:6" ht="18" customHeight="1">
      <c r="A125" s="86">
        <v>120</v>
      </c>
      <c r="B125" s="91"/>
      <c r="C125" s="92"/>
      <c r="D125" s="92"/>
      <c r="E125" s="96"/>
      <c r="F125" s="94"/>
    </row>
    <row r="126" spans="1:6" ht="18" customHeight="1">
      <c r="A126" s="86">
        <v>121</v>
      </c>
      <c r="B126" s="83"/>
      <c r="C126" s="84"/>
      <c r="D126" s="84"/>
      <c r="E126" s="83"/>
      <c r="F126" s="85"/>
    </row>
    <row r="127" spans="1:6" ht="18" customHeight="1">
      <c r="A127" s="86">
        <v>122</v>
      </c>
      <c r="B127" s="87"/>
      <c r="C127" s="88"/>
      <c r="D127" s="88"/>
      <c r="E127" s="87"/>
      <c r="F127" s="90"/>
    </row>
    <row r="128" spans="1:6" ht="18" customHeight="1">
      <c r="A128" s="86">
        <v>123</v>
      </c>
      <c r="B128" s="87"/>
      <c r="C128" s="88"/>
      <c r="D128" s="88"/>
      <c r="E128" s="87"/>
      <c r="F128" s="90"/>
    </row>
    <row r="129" spans="1:6" ht="18" customHeight="1">
      <c r="A129" s="86">
        <v>124</v>
      </c>
      <c r="B129" s="87"/>
      <c r="C129" s="88"/>
      <c r="D129" s="88"/>
      <c r="E129" s="87"/>
      <c r="F129" s="90"/>
    </row>
    <row r="130" spans="1:6" ht="18" customHeight="1">
      <c r="A130" s="86">
        <v>125</v>
      </c>
      <c r="B130" s="91"/>
      <c r="C130" s="92"/>
      <c r="D130" s="92"/>
      <c r="E130" s="96"/>
      <c r="F130" s="94"/>
    </row>
    <row r="131" spans="1:6" ht="18" customHeight="1">
      <c r="A131" s="86">
        <v>126</v>
      </c>
      <c r="B131" s="83"/>
      <c r="C131" s="84"/>
      <c r="D131" s="84"/>
      <c r="E131" s="83"/>
      <c r="F131" s="85"/>
    </row>
    <row r="132" spans="1:6" ht="18" customHeight="1">
      <c r="A132" s="86">
        <v>127</v>
      </c>
      <c r="B132" s="87"/>
      <c r="C132" s="88"/>
      <c r="D132" s="88"/>
      <c r="E132" s="87"/>
      <c r="F132" s="90"/>
    </row>
    <row r="133" spans="1:6" ht="18" customHeight="1">
      <c r="A133" s="86">
        <v>128</v>
      </c>
      <c r="B133" s="87"/>
      <c r="C133" s="88"/>
      <c r="D133" s="88"/>
      <c r="E133" s="87"/>
      <c r="F133" s="90"/>
    </row>
    <row r="134" spans="1:6" ht="18" customHeight="1">
      <c r="A134" s="86">
        <v>129</v>
      </c>
      <c r="B134" s="87"/>
      <c r="C134" s="88"/>
      <c r="D134" s="88"/>
      <c r="E134" s="87"/>
      <c r="F134" s="90"/>
    </row>
    <row r="135" spans="1:6" ht="18" customHeight="1">
      <c r="A135" s="86">
        <v>130</v>
      </c>
      <c r="B135" s="91"/>
      <c r="C135" s="92"/>
      <c r="D135" s="92"/>
      <c r="E135" s="96"/>
      <c r="F135" s="94"/>
    </row>
    <row r="136" spans="1:6" ht="18" customHeight="1">
      <c r="A136" s="86">
        <v>131</v>
      </c>
      <c r="B136" s="83"/>
      <c r="C136" s="84"/>
      <c r="D136" s="84"/>
      <c r="E136" s="83"/>
      <c r="F136" s="85"/>
    </row>
    <row r="137" spans="1:6" ht="18" customHeight="1">
      <c r="A137" s="86">
        <v>132</v>
      </c>
      <c r="B137" s="87"/>
      <c r="C137" s="88"/>
      <c r="D137" s="88"/>
      <c r="E137" s="87"/>
      <c r="F137" s="90"/>
    </row>
    <row r="138" spans="1:6" ht="18" customHeight="1">
      <c r="A138" s="86">
        <v>133</v>
      </c>
      <c r="B138" s="87"/>
      <c r="C138" s="88"/>
      <c r="D138" s="88"/>
      <c r="E138" s="87"/>
      <c r="F138" s="90"/>
    </row>
    <row r="139" spans="1:6" ht="18" customHeight="1">
      <c r="A139" s="86">
        <v>134</v>
      </c>
      <c r="B139" s="87"/>
      <c r="C139" s="88"/>
      <c r="D139" s="88"/>
      <c r="E139" s="87"/>
      <c r="F139" s="90"/>
    </row>
    <row r="140" spans="1:6" ht="18" customHeight="1">
      <c r="A140" s="86">
        <v>135</v>
      </c>
      <c r="B140" s="91"/>
      <c r="C140" s="92"/>
      <c r="D140" s="92"/>
      <c r="E140" s="96"/>
      <c r="F140" s="94"/>
    </row>
    <row r="141" spans="1:6" ht="18" customHeight="1">
      <c r="A141" s="86">
        <v>136</v>
      </c>
      <c r="B141" s="83"/>
      <c r="C141" s="84"/>
      <c r="D141" s="84"/>
      <c r="E141" s="83"/>
      <c r="F141" s="85"/>
    </row>
    <row r="142" spans="1:6" ht="18" customHeight="1">
      <c r="A142" s="86">
        <v>137</v>
      </c>
      <c r="B142" s="87"/>
      <c r="C142" s="88"/>
      <c r="D142" s="88"/>
      <c r="E142" s="87"/>
      <c r="F142" s="90"/>
    </row>
    <row r="143" spans="1:6" ht="18" customHeight="1">
      <c r="A143" s="86">
        <v>138</v>
      </c>
      <c r="B143" s="87"/>
      <c r="C143" s="88"/>
      <c r="D143" s="88"/>
      <c r="E143" s="87"/>
      <c r="F143" s="90"/>
    </row>
    <row r="144" spans="1:6" ht="18" customHeight="1">
      <c r="A144" s="86">
        <v>139</v>
      </c>
      <c r="B144" s="87"/>
      <c r="C144" s="88"/>
      <c r="D144" s="88"/>
      <c r="E144" s="87"/>
      <c r="F144" s="90"/>
    </row>
    <row r="145" spans="1:6" ht="18" customHeight="1">
      <c r="A145" s="86">
        <v>140</v>
      </c>
      <c r="B145" s="91"/>
      <c r="C145" s="92"/>
      <c r="D145" s="92"/>
      <c r="E145" s="96"/>
      <c r="F145" s="94"/>
    </row>
    <row r="146" spans="1:6" ht="18" customHeight="1">
      <c r="A146" s="86">
        <v>141</v>
      </c>
      <c r="B146" s="83"/>
      <c r="C146" s="84"/>
      <c r="D146" s="84"/>
      <c r="E146" s="83"/>
      <c r="F146" s="85"/>
    </row>
    <row r="147" spans="1:6" ht="18" customHeight="1">
      <c r="A147" s="86">
        <v>142</v>
      </c>
      <c r="B147" s="87"/>
      <c r="C147" s="88"/>
      <c r="D147" s="88"/>
      <c r="E147" s="87"/>
      <c r="F147" s="90"/>
    </row>
    <row r="148" spans="1:6" ht="18" customHeight="1">
      <c r="A148" s="86">
        <v>143</v>
      </c>
      <c r="B148" s="87"/>
      <c r="C148" s="88"/>
      <c r="D148" s="88"/>
      <c r="E148" s="87"/>
      <c r="F148" s="90"/>
    </row>
    <row r="149" spans="1:6" ht="18" customHeight="1">
      <c r="A149" s="86">
        <v>144</v>
      </c>
      <c r="B149" s="87"/>
      <c r="C149" s="88"/>
      <c r="D149" s="88"/>
      <c r="E149" s="87"/>
      <c r="F149" s="90"/>
    </row>
    <row r="150" spans="1:6" ht="18" customHeight="1">
      <c r="A150" s="86">
        <v>145</v>
      </c>
      <c r="B150" s="91"/>
      <c r="C150" s="92"/>
      <c r="D150" s="92"/>
      <c r="E150" s="96"/>
      <c r="F150" s="94"/>
    </row>
    <row r="151" spans="1:6" ht="18" customHeight="1">
      <c r="A151" s="86">
        <v>146</v>
      </c>
      <c r="B151" s="83"/>
      <c r="C151" s="84"/>
      <c r="D151" s="84"/>
      <c r="E151" s="83"/>
      <c r="F151" s="85"/>
    </row>
    <row r="152" spans="1:6" ht="18" customHeight="1">
      <c r="A152" s="86">
        <v>147</v>
      </c>
      <c r="B152" s="87"/>
      <c r="C152" s="88"/>
      <c r="D152" s="88"/>
      <c r="E152" s="87"/>
      <c r="F152" s="90"/>
    </row>
    <row r="153" spans="1:6" ht="18" customHeight="1">
      <c r="A153" s="86">
        <v>148</v>
      </c>
      <c r="B153" s="87"/>
      <c r="C153" s="88"/>
      <c r="D153" s="88"/>
      <c r="E153" s="87"/>
      <c r="F153" s="90"/>
    </row>
    <row r="154" spans="1:6" ht="18" customHeight="1">
      <c r="A154" s="86">
        <v>149</v>
      </c>
      <c r="B154" s="87"/>
      <c r="C154" s="88"/>
      <c r="D154" s="88"/>
      <c r="E154" s="87"/>
      <c r="F154" s="90"/>
    </row>
    <row r="155" spans="1:6" ht="18" customHeight="1">
      <c r="A155" s="86">
        <v>150</v>
      </c>
      <c r="B155" s="91"/>
      <c r="C155" s="92"/>
      <c r="D155" s="92"/>
      <c r="E155" s="96"/>
      <c r="F155" s="94"/>
    </row>
    <row r="156" spans="1:6" ht="18" customHeight="1">
      <c r="A156" s="86">
        <v>151</v>
      </c>
      <c r="B156" s="83"/>
      <c r="C156" s="84"/>
      <c r="D156" s="84"/>
      <c r="E156" s="83"/>
      <c r="F156" s="85"/>
    </row>
    <row r="157" spans="1:6" ht="18" customHeight="1">
      <c r="A157" s="86">
        <v>152</v>
      </c>
      <c r="B157" s="87"/>
      <c r="C157" s="88"/>
      <c r="D157" s="88"/>
      <c r="E157" s="87"/>
      <c r="F157" s="90"/>
    </row>
    <row r="158" spans="1:6" ht="18" customHeight="1">
      <c r="A158" s="86">
        <v>153</v>
      </c>
      <c r="B158" s="87"/>
      <c r="C158" s="88"/>
      <c r="D158" s="88"/>
      <c r="E158" s="87"/>
      <c r="F158" s="90"/>
    </row>
    <row r="159" spans="1:6" ht="18" customHeight="1">
      <c r="A159" s="86">
        <v>154</v>
      </c>
      <c r="B159" s="87"/>
      <c r="C159" s="88"/>
      <c r="D159" s="88"/>
      <c r="E159" s="87"/>
      <c r="F159" s="90"/>
    </row>
    <row r="160" spans="1:6" ht="18" customHeight="1">
      <c r="A160" s="86">
        <v>155</v>
      </c>
      <c r="B160" s="91"/>
      <c r="C160" s="92"/>
      <c r="D160" s="92"/>
      <c r="E160" s="96"/>
      <c r="F160" s="94"/>
    </row>
    <row r="161" spans="1:6" ht="18" customHeight="1">
      <c r="A161" s="86">
        <v>156</v>
      </c>
      <c r="B161" s="83"/>
      <c r="C161" s="84"/>
      <c r="D161" s="84"/>
      <c r="E161" s="83"/>
      <c r="F161" s="85"/>
    </row>
    <row r="162" spans="1:6" ht="18" customHeight="1">
      <c r="A162" s="86">
        <v>157</v>
      </c>
      <c r="B162" s="87"/>
      <c r="C162" s="88"/>
      <c r="D162" s="88"/>
      <c r="E162" s="87"/>
      <c r="F162" s="90"/>
    </row>
    <row r="163" spans="1:6" ht="18" customHeight="1">
      <c r="A163" s="86">
        <v>158</v>
      </c>
      <c r="B163" s="87"/>
      <c r="C163" s="88"/>
      <c r="D163" s="88"/>
      <c r="E163" s="87"/>
      <c r="F163" s="90"/>
    </row>
    <row r="164" spans="1:6" ht="18" customHeight="1">
      <c r="A164" s="86">
        <v>159</v>
      </c>
      <c r="B164" s="87"/>
      <c r="C164" s="88"/>
      <c r="D164" s="88"/>
      <c r="E164" s="87"/>
      <c r="F164" s="90"/>
    </row>
    <row r="165" spans="1:6" ht="18" customHeight="1">
      <c r="A165" s="86">
        <v>160</v>
      </c>
      <c r="B165" s="91"/>
      <c r="C165" s="92"/>
      <c r="D165" s="92"/>
      <c r="E165" s="96"/>
      <c r="F165" s="94"/>
    </row>
    <row r="166" spans="1:6" ht="18" customHeight="1">
      <c r="A166" s="86">
        <v>161</v>
      </c>
      <c r="B166" s="87"/>
      <c r="C166" s="88"/>
      <c r="D166" s="88"/>
      <c r="E166" s="87"/>
      <c r="F166" s="90"/>
    </row>
    <row r="167" spans="1:6" ht="18" customHeight="1">
      <c r="A167" s="86">
        <v>162</v>
      </c>
      <c r="B167" s="87"/>
      <c r="C167" s="88"/>
      <c r="D167" s="88"/>
      <c r="E167" s="87"/>
      <c r="F167" s="90"/>
    </row>
    <row r="168" spans="1:6" ht="18" customHeight="1">
      <c r="A168" s="86">
        <v>163</v>
      </c>
      <c r="B168" s="87"/>
      <c r="C168" s="88"/>
      <c r="D168" s="88"/>
      <c r="E168" s="87"/>
      <c r="F168" s="90"/>
    </row>
    <row r="169" spans="1:6" ht="18" customHeight="1">
      <c r="A169" s="86">
        <v>164</v>
      </c>
      <c r="B169" s="87"/>
      <c r="C169" s="88"/>
      <c r="D169" s="88"/>
      <c r="E169" s="87"/>
      <c r="F169" s="90"/>
    </row>
    <row r="170" spans="1:6" ht="18" customHeight="1">
      <c r="A170" s="86">
        <v>165</v>
      </c>
      <c r="B170" s="87"/>
      <c r="C170" s="88"/>
      <c r="D170" s="88"/>
      <c r="E170" s="87"/>
      <c r="F170" s="90"/>
    </row>
    <row r="171" spans="1:6" ht="18" customHeight="1">
      <c r="A171" s="86">
        <v>166</v>
      </c>
      <c r="B171" s="87"/>
      <c r="C171" s="88"/>
      <c r="D171" s="88"/>
      <c r="E171" s="87"/>
      <c r="F171" s="90"/>
    </row>
    <row r="172" spans="1:6" ht="18" customHeight="1">
      <c r="A172" s="86">
        <v>167</v>
      </c>
      <c r="B172" s="87"/>
      <c r="C172" s="88"/>
      <c r="D172" s="88"/>
      <c r="E172" s="87"/>
      <c r="F172" s="90"/>
    </row>
    <row r="173" spans="1:6" ht="18" customHeight="1">
      <c r="A173" s="86">
        <v>168</v>
      </c>
      <c r="B173" s="87"/>
      <c r="C173" s="88"/>
      <c r="D173" s="88"/>
      <c r="E173" s="87"/>
      <c r="F173" s="90"/>
    </row>
    <row r="174" spans="1:6" ht="18" customHeight="1">
      <c r="A174" s="86">
        <v>169</v>
      </c>
      <c r="B174" s="87"/>
      <c r="C174" s="88"/>
      <c r="D174" s="88"/>
      <c r="E174" s="87"/>
      <c r="F174" s="90"/>
    </row>
    <row r="175" spans="1:6" ht="18" customHeight="1">
      <c r="A175" s="86">
        <v>170</v>
      </c>
      <c r="B175" s="87"/>
      <c r="C175" s="88"/>
      <c r="D175" s="88"/>
      <c r="E175" s="87"/>
      <c r="F175" s="90"/>
    </row>
    <row r="176" spans="1:6" ht="18" customHeight="1">
      <c r="A176" s="86">
        <v>171</v>
      </c>
      <c r="B176" s="87"/>
      <c r="C176" s="88"/>
      <c r="D176" s="88"/>
      <c r="E176" s="87"/>
      <c r="F176" s="90"/>
    </row>
    <row r="177" spans="1:6" ht="18" customHeight="1">
      <c r="A177" s="86">
        <v>172</v>
      </c>
      <c r="B177" s="87"/>
      <c r="C177" s="88"/>
      <c r="D177" s="88"/>
      <c r="E177" s="87"/>
      <c r="F177" s="90"/>
    </row>
    <row r="178" spans="1:6" ht="18" customHeight="1">
      <c r="A178" s="86">
        <v>173</v>
      </c>
      <c r="B178" s="87"/>
      <c r="C178" s="88"/>
      <c r="D178" s="88"/>
      <c r="E178" s="87"/>
      <c r="F178" s="90"/>
    </row>
    <row r="179" spans="1:6" ht="18" customHeight="1">
      <c r="A179" s="86">
        <v>174</v>
      </c>
      <c r="B179" s="87"/>
      <c r="C179" s="88"/>
      <c r="D179" s="88"/>
      <c r="E179" s="87"/>
      <c r="F179" s="90"/>
    </row>
    <row r="180" spans="1:6" ht="18" customHeight="1">
      <c r="A180" s="86">
        <v>175</v>
      </c>
      <c r="B180" s="87"/>
      <c r="C180" s="88"/>
      <c r="D180" s="88"/>
      <c r="E180" s="87"/>
      <c r="F180" s="90"/>
    </row>
    <row r="181" spans="1:6" ht="18" customHeight="1">
      <c r="A181" s="86">
        <v>176</v>
      </c>
      <c r="B181" s="87"/>
      <c r="C181" s="88"/>
      <c r="D181" s="88"/>
      <c r="E181" s="87"/>
      <c r="F181" s="90"/>
    </row>
    <row r="182" spans="1:6" ht="18" customHeight="1">
      <c r="A182" s="86">
        <v>177</v>
      </c>
      <c r="B182" s="87"/>
      <c r="C182" s="88"/>
      <c r="D182" s="88"/>
      <c r="E182" s="87"/>
      <c r="F182" s="90"/>
    </row>
    <row r="183" spans="1:6" ht="18" customHeight="1">
      <c r="A183" s="86">
        <v>178</v>
      </c>
      <c r="B183" s="87"/>
      <c r="C183" s="88"/>
      <c r="D183" s="88"/>
      <c r="E183" s="87"/>
      <c r="F183" s="90"/>
    </row>
    <row r="184" spans="1:6" ht="18" customHeight="1">
      <c r="A184" s="86">
        <v>179</v>
      </c>
      <c r="B184" s="87"/>
      <c r="C184" s="88"/>
      <c r="D184" s="88"/>
      <c r="E184" s="87"/>
      <c r="F184" s="90"/>
    </row>
    <row r="185" spans="1:6" ht="18" customHeight="1">
      <c r="A185" s="86">
        <v>180</v>
      </c>
      <c r="B185" s="87"/>
      <c r="C185" s="88"/>
      <c r="D185" s="88"/>
      <c r="E185" s="87"/>
      <c r="F185" s="90"/>
    </row>
    <row r="186" spans="1:6" ht="18" customHeight="1">
      <c r="A186" s="86">
        <v>181</v>
      </c>
      <c r="B186" s="87"/>
      <c r="C186" s="88"/>
      <c r="D186" s="88"/>
      <c r="E186" s="87"/>
      <c r="F186" s="90"/>
    </row>
    <row r="187" spans="1:6" ht="18" customHeight="1">
      <c r="A187" s="86">
        <v>182</v>
      </c>
      <c r="B187" s="87"/>
      <c r="C187" s="88"/>
      <c r="D187" s="88"/>
      <c r="E187" s="87"/>
      <c r="F187" s="90"/>
    </row>
    <row r="188" spans="1:6" ht="18" customHeight="1">
      <c r="A188" s="86">
        <v>183</v>
      </c>
      <c r="B188" s="87"/>
      <c r="C188" s="88"/>
      <c r="D188" s="88"/>
      <c r="E188" s="87"/>
      <c r="F188" s="90"/>
    </row>
    <row r="189" spans="1:6" ht="18" customHeight="1">
      <c r="A189" s="86">
        <v>184</v>
      </c>
      <c r="B189" s="87"/>
      <c r="C189" s="88"/>
      <c r="D189" s="88"/>
      <c r="E189" s="87"/>
      <c r="F189" s="90"/>
    </row>
    <row r="190" spans="1:6" ht="18" customHeight="1">
      <c r="A190" s="86">
        <v>185</v>
      </c>
      <c r="B190" s="87"/>
      <c r="C190" s="88"/>
      <c r="D190" s="88"/>
      <c r="E190" s="87"/>
      <c r="F190" s="90"/>
    </row>
    <row r="191" spans="1:6" ht="18" customHeight="1">
      <c r="A191" s="86">
        <v>186</v>
      </c>
      <c r="B191" s="83"/>
      <c r="C191" s="84"/>
      <c r="D191" s="84"/>
      <c r="E191" s="83"/>
      <c r="F191" s="85"/>
    </row>
    <row r="192" spans="1:6" ht="18" customHeight="1">
      <c r="A192" s="86">
        <v>187</v>
      </c>
      <c r="B192" s="87"/>
      <c r="C192" s="88"/>
      <c r="D192" s="88"/>
      <c r="E192" s="87"/>
      <c r="F192" s="90"/>
    </row>
    <row r="193" spans="1:6" ht="18" customHeight="1">
      <c r="A193" s="86">
        <v>188</v>
      </c>
      <c r="B193" s="87"/>
      <c r="C193" s="88"/>
      <c r="D193" s="88"/>
      <c r="E193" s="87"/>
      <c r="F193" s="90"/>
    </row>
    <row r="194" spans="1:6" ht="18" customHeight="1">
      <c r="A194" s="86">
        <v>189</v>
      </c>
      <c r="B194" s="87"/>
      <c r="C194" s="88"/>
      <c r="D194" s="88"/>
      <c r="E194" s="87"/>
      <c r="F194" s="90"/>
    </row>
    <row r="195" spans="1:6" ht="18" customHeight="1">
      <c r="A195" s="86">
        <v>190</v>
      </c>
      <c r="B195" s="91"/>
      <c r="C195" s="92"/>
      <c r="D195" s="92"/>
      <c r="E195" s="96"/>
      <c r="F195" s="94"/>
    </row>
    <row r="196" spans="1:6" ht="18" customHeight="1">
      <c r="A196" s="86">
        <v>191</v>
      </c>
      <c r="B196" s="83"/>
      <c r="C196" s="84"/>
      <c r="D196" s="84"/>
      <c r="E196" s="83"/>
      <c r="F196" s="85"/>
    </row>
    <row r="197" spans="1:6" ht="18" customHeight="1">
      <c r="A197" s="86">
        <v>192</v>
      </c>
      <c r="B197" s="87"/>
      <c r="C197" s="88"/>
      <c r="D197" s="88"/>
      <c r="E197" s="87"/>
      <c r="F197" s="90"/>
    </row>
    <row r="198" spans="1:6" ht="18" customHeight="1">
      <c r="A198" s="86">
        <v>193</v>
      </c>
      <c r="B198" s="87"/>
      <c r="C198" s="88"/>
      <c r="D198" s="88"/>
      <c r="E198" s="87"/>
      <c r="F198" s="90"/>
    </row>
    <row r="199" spans="1:6" ht="18" customHeight="1">
      <c r="A199" s="86">
        <v>194</v>
      </c>
      <c r="B199" s="87"/>
      <c r="C199" s="88"/>
      <c r="D199" s="88"/>
      <c r="E199" s="87"/>
      <c r="F199" s="90"/>
    </row>
    <row r="200" spans="1:6" ht="18" customHeight="1">
      <c r="A200" s="86">
        <v>195</v>
      </c>
      <c r="B200" s="91"/>
      <c r="C200" s="92"/>
      <c r="D200" s="92"/>
      <c r="E200" s="96"/>
      <c r="F200" s="94"/>
    </row>
    <row r="201" spans="1:6" ht="18" customHeight="1">
      <c r="A201" s="86">
        <v>196</v>
      </c>
      <c r="B201" s="83"/>
      <c r="C201" s="84"/>
      <c r="D201" s="84"/>
      <c r="E201" s="83"/>
      <c r="F201" s="85"/>
    </row>
    <row r="202" spans="1:6" ht="18" customHeight="1">
      <c r="A202" s="86">
        <v>197</v>
      </c>
      <c r="B202" s="87"/>
      <c r="C202" s="88"/>
      <c r="D202" s="88"/>
      <c r="E202" s="87"/>
      <c r="F202" s="90"/>
    </row>
    <row r="203" spans="1:6" ht="18" customHeight="1">
      <c r="A203" s="86">
        <v>198</v>
      </c>
      <c r="B203" s="87"/>
      <c r="C203" s="88"/>
      <c r="D203" s="88"/>
      <c r="E203" s="87"/>
      <c r="F203" s="90"/>
    </row>
    <row r="204" spans="1:6" ht="18" customHeight="1">
      <c r="A204" s="86">
        <v>199</v>
      </c>
      <c r="B204" s="87"/>
      <c r="C204" s="88"/>
      <c r="D204" s="88"/>
      <c r="E204" s="87"/>
      <c r="F204" s="90"/>
    </row>
    <row r="205" spans="1:6" ht="18" customHeight="1">
      <c r="A205" s="86">
        <v>200</v>
      </c>
      <c r="B205" s="91"/>
      <c r="C205" s="92"/>
      <c r="D205" s="92"/>
      <c r="E205" s="96"/>
      <c r="F205" s="94"/>
    </row>
    <row r="206" spans="1:6" ht="18" customHeight="1">
      <c r="A206" s="86">
        <v>201</v>
      </c>
      <c r="B206" s="83"/>
      <c r="C206" s="84"/>
      <c r="D206" s="84"/>
      <c r="E206" s="83"/>
      <c r="F206" s="85"/>
    </row>
    <row r="207" spans="1:6" ht="18" customHeight="1">
      <c r="A207" s="86">
        <v>202</v>
      </c>
      <c r="B207" s="87"/>
      <c r="C207" s="88"/>
      <c r="D207" s="88"/>
      <c r="E207" s="87"/>
      <c r="F207" s="90"/>
    </row>
    <row r="208" spans="1:6" ht="18" customHeight="1">
      <c r="A208" s="86">
        <v>203</v>
      </c>
      <c r="B208" s="87"/>
      <c r="C208" s="88"/>
      <c r="D208" s="88"/>
      <c r="E208" s="87"/>
      <c r="F208" s="90"/>
    </row>
    <row r="209" spans="1:6" ht="18" customHeight="1">
      <c r="A209" s="86">
        <v>204</v>
      </c>
      <c r="B209" s="87"/>
      <c r="C209" s="88"/>
      <c r="D209" s="88"/>
      <c r="E209" s="87"/>
      <c r="F209" s="90"/>
    </row>
    <row r="210" spans="1:6" ht="18" customHeight="1">
      <c r="A210" s="86">
        <v>205</v>
      </c>
      <c r="B210" s="91"/>
      <c r="C210" s="92"/>
      <c r="D210" s="92"/>
      <c r="E210" s="96"/>
      <c r="F210" s="94"/>
    </row>
    <row r="211" spans="1:6" ht="18" customHeight="1">
      <c r="A211" s="86">
        <v>206</v>
      </c>
      <c r="B211" s="83"/>
      <c r="C211" s="84"/>
      <c r="D211" s="84"/>
      <c r="E211" s="83"/>
      <c r="F211" s="85"/>
    </row>
    <row r="212" spans="1:6" ht="18" customHeight="1">
      <c r="A212" s="86">
        <v>207</v>
      </c>
      <c r="B212" s="87"/>
      <c r="C212" s="88"/>
      <c r="D212" s="88"/>
      <c r="E212" s="87"/>
      <c r="F212" s="90"/>
    </row>
    <row r="213" spans="1:6" ht="18" customHeight="1">
      <c r="A213" s="86">
        <v>208</v>
      </c>
      <c r="B213" s="87"/>
      <c r="C213" s="88"/>
      <c r="D213" s="88"/>
      <c r="E213" s="87"/>
      <c r="F213" s="90"/>
    </row>
    <row r="214" spans="1:6" ht="18" customHeight="1">
      <c r="A214" s="86">
        <v>209</v>
      </c>
      <c r="B214" s="87"/>
      <c r="C214" s="88"/>
      <c r="D214" s="88"/>
      <c r="E214" s="87"/>
      <c r="F214" s="90"/>
    </row>
    <row r="215" spans="1:6" ht="18" customHeight="1">
      <c r="A215" s="86">
        <v>210</v>
      </c>
      <c r="B215" s="91"/>
      <c r="C215" s="92"/>
      <c r="D215" s="92"/>
      <c r="E215" s="96"/>
      <c r="F215" s="94"/>
    </row>
    <row r="216" spans="1:6" ht="18" customHeight="1">
      <c r="A216" s="86">
        <v>211</v>
      </c>
      <c r="B216" s="83"/>
      <c r="C216" s="84"/>
      <c r="D216" s="84"/>
      <c r="E216" s="83"/>
      <c r="F216" s="85"/>
    </row>
    <row r="217" spans="1:6" ht="18" customHeight="1">
      <c r="A217" s="86">
        <v>212</v>
      </c>
      <c r="B217" s="87"/>
      <c r="C217" s="88"/>
      <c r="D217" s="88"/>
      <c r="E217" s="87"/>
      <c r="F217" s="90"/>
    </row>
    <row r="218" spans="1:6" ht="18" customHeight="1">
      <c r="A218" s="86">
        <v>213</v>
      </c>
      <c r="B218" s="87"/>
      <c r="C218" s="88"/>
      <c r="D218" s="88"/>
      <c r="E218" s="87"/>
      <c r="F218" s="90"/>
    </row>
    <row r="219" spans="1:6" ht="18" customHeight="1">
      <c r="A219" s="86">
        <v>214</v>
      </c>
      <c r="B219" s="87"/>
      <c r="C219" s="88"/>
      <c r="D219" s="88"/>
      <c r="E219" s="87"/>
      <c r="F219" s="90"/>
    </row>
    <row r="220" spans="1:6" ht="18" customHeight="1">
      <c r="A220" s="86">
        <v>215</v>
      </c>
      <c r="B220" s="91"/>
      <c r="C220" s="92"/>
      <c r="D220" s="92"/>
      <c r="E220" s="96"/>
      <c r="F220" s="94"/>
    </row>
    <row r="221" spans="1:6" ht="18" customHeight="1">
      <c r="A221" s="86">
        <v>216</v>
      </c>
      <c r="B221" s="83"/>
      <c r="C221" s="84"/>
      <c r="D221" s="84"/>
      <c r="E221" s="83"/>
      <c r="F221" s="85"/>
    </row>
    <row r="222" spans="1:6" ht="18" customHeight="1">
      <c r="A222" s="86">
        <v>217</v>
      </c>
      <c r="B222" s="87"/>
      <c r="C222" s="88"/>
      <c r="D222" s="88"/>
      <c r="E222" s="87"/>
      <c r="F222" s="90"/>
    </row>
    <row r="223" spans="1:6" ht="18" customHeight="1">
      <c r="A223" s="86">
        <v>218</v>
      </c>
      <c r="B223" s="87"/>
      <c r="C223" s="88"/>
      <c r="D223" s="88"/>
      <c r="E223" s="87"/>
      <c r="F223" s="90"/>
    </row>
    <row r="224" spans="1:6" ht="18" customHeight="1">
      <c r="A224" s="86">
        <v>219</v>
      </c>
      <c r="B224" s="87"/>
      <c r="C224" s="88"/>
      <c r="D224" s="88"/>
      <c r="E224" s="87"/>
      <c r="F224" s="90"/>
    </row>
    <row r="225" spans="1:6" ht="18" customHeight="1">
      <c r="A225" s="86">
        <v>220</v>
      </c>
      <c r="B225" s="91"/>
      <c r="C225" s="92"/>
      <c r="D225" s="92"/>
      <c r="E225" s="96"/>
      <c r="F225" s="94"/>
    </row>
    <row r="226" spans="1:6" ht="18" customHeight="1">
      <c r="A226" s="86">
        <v>221</v>
      </c>
      <c r="B226" s="83"/>
      <c r="C226" s="84"/>
      <c r="D226" s="84"/>
      <c r="E226" s="83"/>
      <c r="F226" s="85"/>
    </row>
    <row r="227" spans="1:6" ht="18" customHeight="1">
      <c r="A227" s="86">
        <v>222</v>
      </c>
      <c r="B227" s="87"/>
      <c r="C227" s="88"/>
      <c r="D227" s="88"/>
      <c r="E227" s="87"/>
      <c r="F227" s="90"/>
    </row>
    <row r="228" spans="1:6" ht="18" customHeight="1">
      <c r="A228" s="86">
        <v>223</v>
      </c>
      <c r="B228" s="87"/>
      <c r="C228" s="88"/>
      <c r="D228" s="88"/>
      <c r="E228" s="87"/>
      <c r="F228" s="90"/>
    </row>
    <row r="229" spans="1:6" ht="18" customHeight="1">
      <c r="A229" s="86">
        <v>224</v>
      </c>
      <c r="B229" s="87"/>
      <c r="C229" s="88"/>
      <c r="D229" s="88"/>
      <c r="E229" s="87"/>
      <c r="F229" s="90"/>
    </row>
    <row r="230" spans="1:6" ht="18" customHeight="1">
      <c r="A230" s="86">
        <v>225</v>
      </c>
      <c r="B230" s="91"/>
      <c r="C230" s="92"/>
      <c r="D230" s="92"/>
      <c r="E230" s="96"/>
      <c r="F230" s="94"/>
    </row>
    <row r="231" spans="1:6" ht="18" customHeight="1">
      <c r="A231" s="86">
        <v>226</v>
      </c>
      <c r="B231" s="83"/>
      <c r="C231" s="84"/>
      <c r="D231" s="84"/>
      <c r="E231" s="83"/>
      <c r="F231" s="85"/>
    </row>
    <row r="232" spans="1:6" ht="18" customHeight="1">
      <c r="A232" s="86">
        <v>227</v>
      </c>
      <c r="B232" s="87"/>
      <c r="C232" s="88"/>
      <c r="D232" s="88"/>
      <c r="E232" s="87"/>
      <c r="F232" s="90"/>
    </row>
    <row r="233" spans="1:6" ht="18" customHeight="1">
      <c r="A233" s="86">
        <v>228</v>
      </c>
      <c r="B233" s="87"/>
      <c r="C233" s="88"/>
      <c r="D233" s="88"/>
      <c r="E233" s="87"/>
      <c r="F233" s="90"/>
    </row>
    <row r="234" spans="1:6" ht="18" customHeight="1">
      <c r="A234" s="86">
        <v>229</v>
      </c>
      <c r="B234" s="87"/>
      <c r="C234" s="88"/>
      <c r="D234" s="88"/>
      <c r="E234" s="87"/>
      <c r="F234" s="90"/>
    </row>
    <row r="235" spans="1:6" ht="18" customHeight="1">
      <c r="A235" s="86">
        <v>230</v>
      </c>
      <c r="B235" s="91"/>
      <c r="C235" s="92"/>
      <c r="D235" s="92"/>
      <c r="E235" s="96"/>
      <c r="F235" s="94"/>
    </row>
    <row r="236" spans="1:6" ht="18" customHeight="1">
      <c r="A236" s="86">
        <v>231</v>
      </c>
      <c r="B236" s="83"/>
      <c r="C236" s="84"/>
      <c r="D236" s="84"/>
      <c r="E236" s="83"/>
      <c r="F236" s="85"/>
    </row>
    <row r="237" spans="1:6" ht="18" customHeight="1">
      <c r="A237" s="86">
        <v>232</v>
      </c>
      <c r="B237" s="87"/>
      <c r="C237" s="88"/>
      <c r="D237" s="88"/>
      <c r="E237" s="87"/>
      <c r="F237" s="90"/>
    </row>
    <row r="238" spans="1:6" ht="18" customHeight="1">
      <c r="A238" s="86">
        <v>233</v>
      </c>
      <c r="B238" s="87"/>
      <c r="C238" s="88"/>
      <c r="D238" s="88"/>
      <c r="E238" s="87"/>
      <c r="F238" s="90"/>
    </row>
    <row r="239" spans="1:6" ht="18" customHeight="1">
      <c r="A239" s="86">
        <v>234</v>
      </c>
      <c r="B239" s="87"/>
      <c r="C239" s="88"/>
      <c r="D239" s="88"/>
      <c r="E239" s="87"/>
      <c r="F239" s="90"/>
    </row>
    <row r="240" spans="1:6" ht="18" customHeight="1">
      <c r="A240" s="86">
        <v>235</v>
      </c>
      <c r="B240" s="91"/>
      <c r="C240" s="92"/>
      <c r="D240" s="92"/>
      <c r="E240" s="96"/>
      <c r="F240" s="94"/>
    </row>
    <row r="241" spans="1:6" ht="18" customHeight="1">
      <c r="A241" s="86">
        <v>236</v>
      </c>
      <c r="B241" s="83"/>
      <c r="C241" s="84"/>
      <c r="D241" s="84"/>
      <c r="E241" s="83"/>
      <c r="F241" s="85"/>
    </row>
    <row r="242" spans="1:6" ht="18" customHeight="1">
      <c r="A242" s="86">
        <v>237</v>
      </c>
      <c r="B242" s="87"/>
      <c r="C242" s="88"/>
      <c r="D242" s="88"/>
      <c r="E242" s="87"/>
      <c r="F242" s="90"/>
    </row>
    <row r="243" spans="1:6" ht="18" customHeight="1">
      <c r="A243" s="86">
        <v>238</v>
      </c>
      <c r="B243" s="87"/>
      <c r="C243" s="88"/>
      <c r="D243" s="88"/>
      <c r="E243" s="87"/>
      <c r="F243" s="90"/>
    </row>
    <row r="244" spans="1:6" ht="18" customHeight="1">
      <c r="A244" s="86">
        <v>239</v>
      </c>
      <c r="B244" s="87"/>
      <c r="C244" s="88"/>
      <c r="D244" s="88"/>
      <c r="E244" s="87"/>
      <c r="F244" s="90"/>
    </row>
    <row r="245" spans="1:6" ht="18" customHeight="1">
      <c r="A245" s="86">
        <v>240</v>
      </c>
      <c r="B245" s="91"/>
      <c r="C245" s="92"/>
      <c r="D245" s="92"/>
      <c r="E245" s="96"/>
      <c r="F245" s="94"/>
    </row>
    <row r="246" spans="1:6" ht="18" customHeight="1">
      <c r="A246" s="86">
        <v>241</v>
      </c>
      <c r="B246" s="83"/>
      <c r="C246" s="84"/>
      <c r="D246" s="84"/>
      <c r="E246" s="83"/>
      <c r="F246" s="85"/>
    </row>
    <row r="247" spans="1:6" ht="18" customHeight="1">
      <c r="A247" s="86">
        <v>242</v>
      </c>
      <c r="B247" s="87"/>
      <c r="C247" s="88"/>
      <c r="D247" s="88"/>
      <c r="E247" s="87"/>
      <c r="F247" s="90"/>
    </row>
    <row r="248" spans="1:6" ht="18" customHeight="1">
      <c r="A248" s="86">
        <v>243</v>
      </c>
      <c r="B248" s="87"/>
      <c r="C248" s="88"/>
      <c r="D248" s="88"/>
      <c r="E248" s="87"/>
      <c r="F248" s="90"/>
    </row>
    <row r="249" spans="1:6" ht="18" customHeight="1">
      <c r="A249" s="86">
        <v>244</v>
      </c>
      <c r="B249" s="87"/>
      <c r="C249" s="88"/>
      <c r="D249" s="88"/>
      <c r="E249" s="87"/>
      <c r="F249" s="90"/>
    </row>
    <row r="250" spans="1:6" ht="18" customHeight="1">
      <c r="A250" s="86">
        <v>245</v>
      </c>
      <c r="B250" s="91"/>
      <c r="C250" s="92"/>
      <c r="D250" s="92"/>
      <c r="E250" s="96"/>
      <c r="F250" s="94"/>
    </row>
    <row r="251" spans="1:6" ht="18" customHeight="1">
      <c r="A251" s="86">
        <v>246</v>
      </c>
      <c r="B251" s="83"/>
      <c r="C251" s="84"/>
      <c r="D251" s="84"/>
      <c r="E251" s="83"/>
      <c r="F251" s="85"/>
    </row>
    <row r="252" spans="1:6" ht="18" customHeight="1">
      <c r="A252" s="86">
        <v>247</v>
      </c>
      <c r="B252" s="87"/>
      <c r="C252" s="88"/>
      <c r="D252" s="88"/>
      <c r="E252" s="87"/>
      <c r="F252" s="90"/>
    </row>
    <row r="253" spans="1:6" ht="18" customHeight="1">
      <c r="A253" s="86">
        <v>248</v>
      </c>
      <c r="B253" s="87"/>
      <c r="C253" s="88"/>
      <c r="D253" s="88"/>
      <c r="E253" s="87"/>
      <c r="F253" s="90"/>
    </row>
    <row r="254" spans="1:6" ht="18" customHeight="1">
      <c r="A254" s="86">
        <v>249</v>
      </c>
      <c r="B254" s="87"/>
      <c r="C254" s="88"/>
      <c r="D254" s="88"/>
      <c r="E254" s="87"/>
      <c r="F254" s="90"/>
    </row>
    <row r="255" spans="1:6" ht="18" customHeight="1">
      <c r="A255" s="86">
        <v>250</v>
      </c>
      <c r="B255" s="91"/>
      <c r="C255" s="92"/>
      <c r="D255" s="92"/>
      <c r="E255" s="96"/>
      <c r="F255" s="94"/>
    </row>
    <row r="256" spans="1:6" ht="18" customHeight="1">
      <c r="A256" s="86">
        <v>251</v>
      </c>
      <c r="B256" s="83"/>
      <c r="C256" s="84"/>
      <c r="D256" s="84"/>
      <c r="E256" s="83"/>
      <c r="F256" s="85"/>
    </row>
    <row r="257" spans="1:6" ht="18" customHeight="1">
      <c r="A257" s="86">
        <v>252</v>
      </c>
      <c r="B257" s="87"/>
      <c r="C257" s="88"/>
      <c r="D257" s="88"/>
      <c r="E257" s="87"/>
      <c r="F257" s="90"/>
    </row>
    <row r="258" spans="1:6" ht="18" customHeight="1">
      <c r="A258" s="86">
        <v>253</v>
      </c>
      <c r="B258" s="87"/>
      <c r="C258" s="88"/>
      <c r="D258" s="88"/>
      <c r="E258" s="87"/>
      <c r="F258" s="90"/>
    </row>
    <row r="259" spans="1:6" ht="18" customHeight="1">
      <c r="A259" s="86">
        <v>254</v>
      </c>
      <c r="B259" s="87"/>
      <c r="C259" s="88"/>
      <c r="D259" s="88"/>
      <c r="E259" s="87"/>
      <c r="F259" s="90"/>
    </row>
    <row r="260" spans="1:6" ht="18" customHeight="1">
      <c r="A260" s="86">
        <v>255</v>
      </c>
      <c r="B260" s="91"/>
      <c r="C260" s="92"/>
      <c r="D260" s="92"/>
      <c r="E260" s="96"/>
      <c r="F260" s="94"/>
    </row>
    <row r="261" spans="1:6" ht="18" customHeight="1">
      <c r="A261" s="86">
        <v>256</v>
      </c>
      <c r="B261" s="83"/>
      <c r="C261" s="84"/>
      <c r="D261" s="84"/>
      <c r="E261" s="83"/>
      <c r="F261" s="85"/>
    </row>
    <row r="262" spans="1:6" ht="18" customHeight="1">
      <c r="A262" s="86">
        <v>257</v>
      </c>
      <c r="B262" s="87"/>
      <c r="C262" s="88"/>
      <c r="D262" s="88"/>
      <c r="E262" s="87"/>
      <c r="F262" s="90"/>
    </row>
    <row r="263" spans="1:6" ht="18" customHeight="1">
      <c r="A263" s="86">
        <v>258</v>
      </c>
      <c r="B263" s="87"/>
      <c r="C263" s="88"/>
      <c r="D263" s="88"/>
      <c r="E263" s="87"/>
      <c r="F263" s="90"/>
    </row>
    <row r="264" spans="1:6" ht="18" customHeight="1">
      <c r="A264" s="86">
        <v>259</v>
      </c>
      <c r="B264" s="87"/>
      <c r="C264" s="88"/>
      <c r="D264" s="88"/>
      <c r="E264" s="87"/>
      <c r="F264" s="90"/>
    </row>
    <row r="265" spans="1:6" ht="18" customHeight="1">
      <c r="A265" s="86">
        <v>260</v>
      </c>
      <c r="B265" s="91"/>
      <c r="C265" s="92"/>
      <c r="D265" s="92"/>
      <c r="E265" s="96"/>
      <c r="F265" s="94"/>
    </row>
    <row r="266" spans="1:6" ht="18" customHeight="1">
      <c r="A266" s="86">
        <v>261</v>
      </c>
      <c r="B266" s="83"/>
      <c r="C266" s="84"/>
      <c r="D266" s="84"/>
      <c r="E266" s="83"/>
      <c r="F266" s="85"/>
    </row>
    <row r="267" spans="1:6" ht="18" customHeight="1">
      <c r="A267" s="86">
        <v>262</v>
      </c>
      <c r="B267" s="87"/>
      <c r="C267" s="88"/>
      <c r="D267" s="88"/>
      <c r="E267" s="87"/>
      <c r="F267" s="90"/>
    </row>
    <row r="268" spans="1:6" ht="18" customHeight="1">
      <c r="A268" s="86">
        <v>263</v>
      </c>
      <c r="B268" s="87"/>
      <c r="C268" s="88"/>
      <c r="D268" s="88"/>
      <c r="E268" s="87"/>
      <c r="F268" s="90"/>
    </row>
    <row r="269" spans="1:6" ht="18" customHeight="1">
      <c r="A269" s="86">
        <v>264</v>
      </c>
      <c r="B269" s="87"/>
      <c r="C269" s="88"/>
      <c r="D269" s="88"/>
      <c r="E269" s="87"/>
      <c r="F269" s="90"/>
    </row>
    <row r="270" spans="1:6" ht="18" customHeight="1">
      <c r="A270" s="86">
        <v>265</v>
      </c>
      <c r="B270" s="91"/>
      <c r="C270" s="92"/>
      <c r="D270" s="92"/>
      <c r="E270" s="96"/>
      <c r="F270" s="94"/>
    </row>
    <row r="271" spans="1:6" ht="18" customHeight="1">
      <c r="A271" s="86">
        <v>266</v>
      </c>
      <c r="B271" s="83"/>
      <c r="C271" s="84"/>
      <c r="D271" s="84"/>
      <c r="E271" s="83"/>
      <c r="F271" s="85"/>
    </row>
    <row r="272" spans="1:6" ht="18" customHeight="1">
      <c r="A272" s="86">
        <v>267</v>
      </c>
      <c r="B272" s="87"/>
      <c r="C272" s="88"/>
      <c r="D272" s="88"/>
      <c r="E272" s="87"/>
      <c r="F272" s="90"/>
    </row>
    <row r="273" spans="1:6" ht="18" customHeight="1">
      <c r="A273" s="86">
        <v>268</v>
      </c>
      <c r="B273" s="87"/>
      <c r="C273" s="88"/>
      <c r="D273" s="88"/>
      <c r="E273" s="87"/>
      <c r="F273" s="90"/>
    </row>
    <row r="274" spans="1:6" ht="18" customHeight="1">
      <c r="A274" s="86">
        <v>269</v>
      </c>
      <c r="B274" s="87"/>
      <c r="C274" s="88"/>
      <c r="D274" s="88"/>
      <c r="E274" s="87"/>
      <c r="F274" s="90"/>
    </row>
    <row r="275" spans="1:6" ht="18" customHeight="1">
      <c r="A275" s="86">
        <v>270</v>
      </c>
      <c r="B275" s="91"/>
      <c r="C275" s="92"/>
      <c r="D275" s="92"/>
      <c r="E275" s="96"/>
      <c r="F275" s="94"/>
    </row>
    <row r="276" spans="1:6" ht="18" customHeight="1">
      <c r="A276" s="86">
        <v>271</v>
      </c>
      <c r="B276" s="83"/>
      <c r="C276" s="84"/>
      <c r="D276" s="84"/>
      <c r="E276" s="83"/>
      <c r="F276" s="85"/>
    </row>
    <row r="277" spans="1:6" ht="18" customHeight="1">
      <c r="A277" s="86">
        <v>272</v>
      </c>
      <c r="B277" s="87"/>
      <c r="C277" s="88"/>
      <c r="D277" s="88"/>
      <c r="E277" s="87"/>
      <c r="F277" s="90"/>
    </row>
    <row r="278" spans="1:6" ht="18" customHeight="1">
      <c r="A278" s="86">
        <v>273</v>
      </c>
      <c r="B278" s="87"/>
      <c r="C278" s="88"/>
      <c r="D278" s="88"/>
      <c r="E278" s="87"/>
      <c r="F278" s="90"/>
    </row>
    <row r="279" spans="1:6" ht="18" customHeight="1">
      <c r="A279" s="86">
        <v>274</v>
      </c>
      <c r="B279" s="87"/>
      <c r="C279" s="88"/>
      <c r="D279" s="88"/>
      <c r="E279" s="87"/>
      <c r="F279" s="90"/>
    </row>
    <row r="280" spans="1:6" ht="18" customHeight="1">
      <c r="A280" s="86">
        <v>275</v>
      </c>
      <c r="B280" s="91"/>
      <c r="C280" s="92"/>
      <c r="D280" s="92"/>
      <c r="E280" s="96"/>
      <c r="F280" s="94"/>
    </row>
    <row r="281" spans="1:6" ht="18" customHeight="1">
      <c r="A281" s="86">
        <v>276</v>
      </c>
      <c r="B281" s="83"/>
      <c r="C281" s="84"/>
      <c r="D281" s="84"/>
      <c r="E281" s="83"/>
      <c r="F281" s="85"/>
    </row>
    <row r="282" spans="1:6" ht="18" customHeight="1">
      <c r="A282" s="86">
        <v>277</v>
      </c>
      <c r="B282" s="87"/>
      <c r="C282" s="88"/>
      <c r="D282" s="88"/>
      <c r="E282" s="87"/>
      <c r="F282" s="90"/>
    </row>
    <row r="283" spans="1:6" ht="18" customHeight="1">
      <c r="A283" s="86">
        <v>278</v>
      </c>
      <c r="B283" s="87"/>
      <c r="C283" s="88"/>
      <c r="D283" s="88"/>
      <c r="E283" s="87"/>
      <c r="F283" s="90"/>
    </row>
    <row r="284" spans="1:6" ht="18" customHeight="1">
      <c r="A284" s="86">
        <v>279</v>
      </c>
      <c r="B284" s="87"/>
      <c r="C284" s="88"/>
      <c r="D284" s="88"/>
      <c r="E284" s="87"/>
      <c r="F284" s="90"/>
    </row>
    <row r="285" spans="1:6" ht="18" customHeight="1">
      <c r="A285" s="86">
        <v>280</v>
      </c>
      <c r="B285" s="91"/>
      <c r="C285" s="92"/>
      <c r="D285" s="92"/>
      <c r="E285" s="96"/>
      <c r="F285" s="94"/>
    </row>
    <row r="286" spans="1:6" ht="18" customHeight="1">
      <c r="A286" s="86">
        <v>281</v>
      </c>
      <c r="B286" s="83"/>
      <c r="C286" s="84"/>
      <c r="D286" s="84"/>
      <c r="E286" s="83"/>
      <c r="F286" s="85"/>
    </row>
    <row r="287" spans="1:6" ht="18" customHeight="1">
      <c r="A287" s="86">
        <v>282</v>
      </c>
      <c r="B287" s="87"/>
      <c r="C287" s="88"/>
      <c r="D287" s="88"/>
      <c r="E287" s="87"/>
      <c r="F287" s="90"/>
    </row>
    <row r="288" spans="1:6" ht="18" customHeight="1">
      <c r="A288" s="86">
        <v>283</v>
      </c>
      <c r="B288" s="87"/>
      <c r="C288" s="88"/>
      <c r="D288" s="88"/>
      <c r="E288" s="87"/>
      <c r="F288" s="90"/>
    </row>
    <row r="289" spans="1:6" ht="18" customHeight="1">
      <c r="A289" s="86">
        <v>284</v>
      </c>
      <c r="B289" s="87"/>
      <c r="C289" s="88"/>
      <c r="D289" s="88"/>
      <c r="E289" s="87"/>
      <c r="F289" s="90"/>
    </row>
    <row r="290" spans="1:6" ht="18" customHeight="1">
      <c r="A290" s="86">
        <v>285</v>
      </c>
      <c r="B290" s="91"/>
      <c r="C290" s="92"/>
      <c r="D290" s="92"/>
      <c r="E290" s="96"/>
      <c r="F290" s="94"/>
    </row>
    <row r="291" spans="1:6" ht="18" customHeight="1">
      <c r="A291" s="86">
        <v>286</v>
      </c>
      <c r="B291" s="83"/>
      <c r="C291" s="84"/>
      <c r="D291" s="84"/>
      <c r="E291" s="83"/>
      <c r="F291" s="85"/>
    </row>
    <row r="292" spans="1:6" ht="18" customHeight="1">
      <c r="A292" s="86">
        <v>287</v>
      </c>
      <c r="B292" s="87"/>
      <c r="C292" s="88"/>
      <c r="D292" s="88"/>
      <c r="E292" s="87"/>
      <c r="F292" s="90"/>
    </row>
    <row r="293" spans="1:6" ht="18" customHeight="1">
      <c r="A293" s="86">
        <v>288</v>
      </c>
      <c r="B293" s="87"/>
      <c r="C293" s="88"/>
      <c r="D293" s="88"/>
      <c r="E293" s="87"/>
      <c r="F293" s="90"/>
    </row>
    <row r="294" spans="1:6" ht="18" customHeight="1">
      <c r="A294" s="86">
        <v>289</v>
      </c>
      <c r="B294" s="87"/>
      <c r="C294" s="88"/>
      <c r="D294" s="88"/>
      <c r="E294" s="87"/>
      <c r="F294" s="90"/>
    </row>
    <row r="295" spans="1:6" ht="18" customHeight="1">
      <c r="A295" s="86">
        <v>290</v>
      </c>
      <c r="B295" s="91"/>
      <c r="C295" s="92"/>
      <c r="D295" s="92"/>
      <c r="E295" s="96"/>
      <c r="F295" s="94"/>
    </row>
    <row r="296" spans="1:6" ht="18" customHeight="1">
      <c r="A296" s="86">
        <v>291</v>
      </c>
      <c r="B296" s="83"/>
      <c r="C296" s="84"/>
      <c r="D296" s="84"/>
      <c r="E296" s="83"/>
      <c r="F296" s="85"/>
    </row>
    <row r="297" spans="1:6" ht="18" customHeight="1">
      <c r="A297" s="86">
        <v>292</v>
      </c>
      <c r="B297" s="87"/>
      <c r="C297" s="88"/>
      <c r="D297" s="88"/>
      <c r="E297" s="87"/>
      <c r="F297" s="90"/>
    </row>
    <row r="298" spans="1:6" ht="18" customHeight="1">
      <c r="A298" s="86">
        <v>293</v>
      </c>
      <c r="B298" s="87"/>
      <c r="C298" s="88"/>
      <c r="D298" s="88"/>
      <c r="E298" s="87"/>
      <c r="F298" s="90"/>
    </row>
    <row r="299" spans="1:6" ht="18" customHeight="1">
      <c r="A299" s="86">
        <v>294</v>
      </c>
      <c r="B299" s="87"/>
      <c r="C299" s="88"/>
      <c r="D299" s="88"/>
      <c r="E299" s="87"/>
      <c r="F299" s="90"/>
    </row>
    <row r="300" spans="1:6" ht="18" customHeight="1">
      <c r="A300" s="86">
        <v>295</v>
      </c>
      <c r="B300" s="91"/>
      <c r="C300" s="92"/>
      <c r="D300" s="92"/>
      <c r="E300" s="96"/>
      <c r="F300" s="94"/>
    </row>
    <row r="301" spans="1:6" ht="18" customHeight="1">
      <c r="A301" s="86">
        <v>296</v>
      </c>
      <c r="B301" s="83"/>
      <c r="C301" s="84"/>
      <c r="D301" s="84"/>
      <c r="E301" s="83"/>
      <c r="F301" s="85"/>
    </row>
    <row r="302" spans="1:6" ht="18" customHeight="1">
      <c r="A302" s="86">
        <v>297</v>
      </c>
      <c r="B302" s="87"/>
      <c r="C302" s="88"/>
      <c r="D302" s="88"/>
      <c r="E302" s="87"/>
      <c r="F302" s="90"/>
    </row>
    <row r="303" spans="1:6" ht="18" customHeight="1">
      <c r="A303" s="86">
        <v>298</v>
      </c>
      <c r="B303" s="87"/>
      <c r="C303" s="88"/>
      <c r="D303" s="88"/>
      <c r="E303" s="87"/>
      <c r="F303" s="90"/>
    </row>
    <row r="304" spans="1:6" ht="18" customHeight="1">
      <c r="A304" s="86">
        <v>299</v>
      </c>
      <c r="B304" s="87"/>
      <c r="C304" s="88"/>
      <c r="D304" s="88"/>
      <c r="E304" s="87"/>
      <c r="F304" s="90"/>
    </row>
    <row r="305" spans="1:6" ht="18" customHeight="1">
      <c r="A305" s="86">
        <v>300</v>
      </c>
      <c r="B305" s="91"/>
      <c r="C305" s="92"/>
      <c r="D305" s="92"/>
      <c r="E305" s="96"/>
      <c r="F305" s="94"/>
    </row>
  </sheetData>
  <sheetProtection/>
  <mergeCells count="5">
    <mergeCell ref="A4:C4"/>
    <mergeCell ref="A1:F1"/>
    <mergeCell ref="A2:F2"/>
    <mergeCell ref="A3:F3"/>
    <mergeCell ref="E4:F4"/>
  </mergeCells>
  <conditionalFormatting sqref="B6:B305">
    <cfRule type="duplicateValues" priority="25" dxfId="15" stopIfTrue="1">
      <formula>AND(COUNTIF($B$6:$B$305,B6)&gt;1,NOT(ISBLANK(B6)))</formula>
    </cfRule>
  </conditionalFormatting>
  <printOptions horizontalCentered="1"/>
  <pageMargins left="0.5905511811023623" right="0.5905511811023623" top="0.5905511811023623" bottom="0.5905511811023623" header="0.3937007874015748" footer="0.2755905511811024"/>
  <pageSetup horizontalDpi="300" verticalDpi="300" orientation="portrait" paperSize="9" scale="91" r:id="rId2"/>
  <headerFooter alignWithMargins="0">
    <oddFooter>&amp;C&amp;P</oddFooter>
  </headerFooter>
  <rowBreaks count="3" manualBreakCount="3">
    <brk id="45" max="5" man="1"/>
    <brk id="90" max="5" man="1"/>
    <brk id="135"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30"/>
  <sheetViews>
    <sheetView tabSelected="1" view="pageBreakPreview" zoomScaleSheetLayoutView="100" zoomScalePageLayoutView="0" workbookViewId="0" topLeftCell="A1">
      <selection activeCell="A31" sqref="A31"/>
    </sheetView>
  </sheetViews>
  <sheetFormatPr defaultColWidth="9.00390625" defaultRowHeight="12.75"/>
  <cols>
    <col min="1" max="1" width="4.25390625" style="2" bestFit="1" customWidth="1"/>
    <col min="2" max="2" width="6.375" style="2" bestFit="1" customWidth="1"/>
    <col min="3" max="3" width="24.375" style="9" customWidth="1"/>
    <col min="4" max="4" width="30.00390625" style="9" customWidth="1"/>
    <col min="5" max="5" width="6.625" style="1" customWidth="1"/>
    <col min="6" max="6" width="15.375" style="2" customWidth="1"/>
    <col min="7" max="7" width="9.375" style="129" customWidth="1"/>
    <col min="8" max="8" width="7.375" style="1" customWidth="1"/>
    <col min="9" max="16384" width="9.125" style="1" customWidth="1"/>
  </cols>
  <sheetData>
    <row r="1" spans="1:10" ht="32.25" customHeight="1">
      <c r="A1" s="173" t="str">
        <f>KAPAK!A2</f>
        <v>Türkiye Atletizm Federasyonu
Ankara Atletizm İl Temsilciliği</v>
      </c>
      <c r="B1" s="173"/>
      <c r="C1" s="173"/>
      <c r="D1" s="173"/>
      <c r="E1" s="173"/>
      <c r="F1" s="173"/>
      <c r="G1" s="173"/>
      <c r="H1" s="173"/>
      <c r="J1" s="2"/>
    </row>
    <row r="2" spans="1:8" ht="18">
      <c r="A2" s="174" t="str">
        <f>KAPAK!B25</f>
        <v>Atatürk'ü Anma Kros Yarışmaları</v>
      </c>
      <c r="B2" s="174"/>
      <c r="C2" s="174"/>
      <c r="D2" s="174"/>
      <c r="E2" s="174"/>
      <c r="F2" s="174"/>
      <c r="G2" s="174"/>
      <c r="H2" s="174"/>
    </row>
    <row r="3" spans="1:9" ht="15.75">
      <c r="A3" s="175" t="str">
        <f>KAPAK!B28</f>
        <v>Ankara</v>
      </c>
      <c r="B3" s="175"/>
      <c r="C3" s="175"/>
      <c r="D3" s="175"/>
      <c r="E3" s="175"/>
      <c r="F3" s="175"/>
      <c r="G3" s="175"/>
      <c r="H3" s="175"/>
      <c r="I3" s="3"/>
    </row>
    <row r="4" spans="1:8" ht="15.75">
      <c r="A4" s="172" t="str">
        <f>KAPAK!B27</f>
        <v>Üniversiteli Erkekler</v>
      </c>
      <c r="B4" s="172"/>
      <c r="C4" s="172"/>
      <c r="D4" s="136" t="str">
        <f>KAPAK!B26</f>
        <v>6 km.</v>
      </c>
      <c r="E4" s="137"/>
      <c r="F4" s="176">
        <f>KAPAK!B29</f>
        <v>41953.50347222222</v>
      </c>
      <c r="G4" s="176"/>
      <c r="H4" s="176"/>
    </row>
    <row r="5" spans="1:16" s="7" customFormat="1" ht="33.75" customHeight="1">
      <c r="A5" s="4" t="s">
        <v>0</v>
      </c>
      <c r="B5" s="5" t="s">
        <v>1</v>
      </c>
      <c r="C5" s="5" t="s">
        <v>3</v>
      </c>
      <c r="D5" s="4" t="s">
        <v>29</v>
      </c>
      <c r="E5" s="5" t="s">
        <v>8</v>
      </c>
      <c r="F5" s="6" t="s">
        <v>2</v>
      </c>
      <c r="G5" s="127" t="s">
        <v>4</v>
      </c>
      <c r="H5" s="5" t="s">
        <v>15</v>
      </c>
      <c r="L5" s="8"/>
      <c r="M5" s="8"/>
      <c r="N5" s="8"/>
      <c r="O5" s="8"/>
      <c r="P5" s="8"/>
    </row>
    <row r="6" spans="1:10" ht="24.75" customHeight="1">
      <c r="A6" s="97">
        <v>1</v>
      </c>
      <c r="B6" s="98">
        <v>456</v>
      </c>
      <c r="C6" s="99" t="s">
        <v>40</v>
      </c>
      <c r="D6" s="100" t="s">
        <v>41</v>
      </c>
      <c r="E6" s="101" t="s">
        <v>35</v>
      </c>
      <c r="F6" s="102">
        <v>33188</v>
      </c>
      <c r="G6" s="128">
        <v>1740</v>
      </c>
      <c r="H6" s="103">
        <v>1</v>
      </c>
      <c r="J6" s="2"/>
    </row>
    <row r="7" spans="1:10" ht="24.75" customHeight="1">
      <c r="A7" s="97">
        <v>2</v>
      </c>
      <c r="B7" s="98">
        <v>451</v>
      </c>
      <c r="C7" s="99" t="s">
        <v>33</v>
      </c>
      <c r="D7" s="99" t="s">
        <v>34</v>
      </c>
      <c r="E7" s="101" t="s">
        <v>35</v>
      </c>
      <c r="F7" s="102">
        <v>32735</v>
      </c>
      <c r="G7" s="128">
        <v>1741</v>
      </c>
      <c r="H7" s="103">
        <v>2</v>
      </c>
      <c r="J7" s="2"/>
    </row>
    <row r="8" spans="1:10" ht="24.75" customHeight="1">
      <c r="A8" s="97">
        <v>3</v>
      </c>
      <c r="B8" s="98">
        <v>571</v>
      </c>
      <c r="C8" s="99" t="s">
        <v>52</v>
      </c>
      <c r="D8" s="99" t="s">
        <v>53</v>
      </c>
      <c r="E8" s="101" t="s">
        <v>54</v>
      </c>
      <c r="F8" s="102">
        <v>33526</v>
      </c>
      <c r="G8" s="128">
        <v>1754</v>
      </c>
      <c r="H8" s="103">
        <v>2</v>
      </c>
      <c r="J8" s="2"/>
    </row>
    <row r="9" spans="1:8" ht="24.75" customHeight="1">
      <c r="A9" s="97">
        <v>4</v>
      </c>
      <c r="B9" s="98">
        <v>574</v>
      </c>
      <c r="C9" s="99" t="s">
        <v>59</v>
      </c>
      <c r="D9" s="99" t="s">
        <v>60</v>
      </c>
      <c r="E9" s="101" t="s">
        <v>54</v>
      </c>
      <c r="F9" s="102">
        <v>33425</v>
      </c>
      <c r="G9" s="128">
        <v>1813</v>
      </c>
      <c r="H9" s="103">
        <v>2</v>
      </c>
    </row>
    <row r="10" spans="1:8" ht="24.75" customHeight="1">
      <c r="A10" s="97">
        <v>5</v>
      </c>
      <c r="B10" s="98">
        <v>576</v>
      </c>
      <c r="C10" s="99" t="s">
        <v>63</v>
      </c>
      <c r="D10" s="99" t="s">
        <v>64</v>
      </c>
      <c r="E10" s="101" t="s">
        <v>54</v>
      </c>
      <c r="F10" s="102">
        <v>33476</v>
      </c>
      <c r="G10" s="128">
        <v>1840</v>
      </c>
      <c r="H10" s="103">
        <v>2</v>
      </c>
    </row>
    <row r="11" spans="1:8" ht="24.75" customHeight="1">
      <c r="A11" s="97">
        <v>6</v>
      </c>
      <c r="B11" s="98">
        <v>455</v>
      </c>
      <c r="C11" s="99" t="s">
        <v>39</v>
      </c>
      <c r="D11" s="99" t="s">
        <v>34</v>
      </c>
      <c r="E11" s="101" t="s">
        <v>35</v>
      </c>
      <c r="F11" s="102">
        <v>35519</v>
      </c>
      <c r="G11" s="128">
        <v>1845</v>
      </c>
      <c r="H11" s="103">
        <v>3</v>
      </c>
    </row>
    <row r="12" spans="1:8" ht="24.75" customHeight="1">
      <c r="A12" s="97">
        <v>7</v>
      </c>
      <c r="B12" s="98">
        <v>454</v>
      </c>
      <c r="C12" s="99" t="s">
        <v>38</v>
      </c>
      <c r="D12" s="99" t="s">
        <v>34</v>
      </c>
      <c r="E12" s="101" t="s">
        <v>35</v>
      </c>
      <c r="F12" s="102">
        <v>35065</v>
      </c>
      <c r="G12" s="128">
        <v>1917</v>
      </c>
      <c r="H12" s="103">
        <v>4</v>
      </c>
    </row>
    <row r="13" spans="1:8" ht="24.75" customHeight="1">
      <c r="A13" s="97">
        <v>8</v>
      </c>
      <c r="B13" s="98">
        <v>453</v>
      </c>
      <c r="C13" s="99" t="s">
        <v>37</v>
      </c>
      <c r="D13" s="99" t="s">
        <v>34</v>
      </c>
      <c r="E13" s="101" t="s">
        <v>35</v>
      </c>
      <c r="F13" s="102">
        <v>34553</v>
      </c>
      <c r="G13" s="128">
        <v>2003</v>
      </c>
      <c r="H13" s="103">
        <v>5</v>
      </c>
    </row>
    <row r="14" spans="1:8" ht="24.75" customHeight="1">
      <c r="A14" s="97">
        <v>9</v>
      </c>
      <c r="B14" s="98">
        <v>457</v>
      </c>
      <c r="C14" s="99" t="s">
        <v>42</v>
      </c>
      <c r="D14" s="99" t="s">
        <v>41</v>
      </c>
      <c r="E14" s="101" t="s">
        <v>35</v>
      </c>
      <c r="F14" s="102">
        <v>33241</v>
      </c>
      <c r="G14" s="128">
        <v>2030</v>
      </c>
      <c r="H14" s="103">
        <v>6</v>
      </c>
    </row>
    <row r="15" spans="1:8" ht="24.75" customHeight="1">
      <c r="A15" s="97">
        <v>10</v>
      </c>
      <c r="B15" s="98">
        <v>458</v>
      </c>
      <c r="C15" s="99" t="s">
        <v>43</v>
      </c>
      <c r="D15" s="99" t="s">
        <v>41</v>
      </c>
      <c r="E15" s="101" t="s">
        <v>35</v>
      </c>
      <c r="F15" s="102">
        <v>34379</v>
      </c>
      <c r="G15" s="128">
        <v>2106</v>
      </c>
      <c r="H15" s="103">
        <v>7</v>
      </c>
    </row>
    <row r="16" spans="1:8" ht="24.75" customHeight="1">
      <c r="A16" s="97">
        <v>11</v>
      </c>
      <c r="B16" s="98">
        <v>573</v>
      </c>
      <c r="C16" s="99" t="s">
        <v>57</v>
      </c>
      <c r="D16" s="99" t="s">
        <v>58</v>
      </c>
      <c r="E16" s="101" t="s">
        <v>54</v>
      </c>
      <c r="F16" s="102">
        <v>35264</v>
      </c>
      <c r="G16" s="128">
        <v>2235</v>
      </c>
      <c r="H16" s="103">
        <v>7</v>
      </c>
    </row>
    <row r="17" spans="1:8" ht="24.75" customHeight="1">
      <c r="A17" s="97">
        <v>12</v>
      </c>
      <c r="B17" s="98">
        <v>459</v>
      </c>
      <c r="C17" s="99" t="s">
        <v>44</v>
      </c>
      <c r="D17" s="99" t="s">
        <v>41</v>
      </c>
      <c r="E17" s="101" t="s">
        <v>35</v>
      </c>
      <c r="F17" s="102">
        <v>34957</v>
      </c>
      <c r="G17" s="128">
        <v>2245</v>
      </c>
      <c r="H17" s="103">
        <v>8</v>
      </c>
    </row>
    <row r="18" spans="1:8" ht="24.75" customHeight="1">
      <c r="A18" s="97">
        <v>13</v>
      </c>
      <c r="B18" s="98">
        <v>461</v>
      </c>
      <c r="C18" s="99" t="s">
        <v>46</v>
      </c>
      <c r="D18" s="99" t="s">
        <v>47</v>
      </c>
      <c r="E18" s="101" t="s">
        <v>35</v>
      </c>
      <c r="F18" s="102">
        <v>34486</v>
      </c>
      <c r="G18" s="128">
        <v>2301</v>
      </c>
      <c r="H18" s="103">
        <v>9</v>
      </c>
    </row>
    <row r="19" spans="1:8" ht="24.75" customHeight="1">
      <c r="A19" s="97">
        <v>14</v>
      </c>
      <c r="B19" s="98">
        <v>460</v>
      </c>
      <c r="C19" s="99" t="s">
        <v>45</v>
      </c>
      <c r="D19" s="99" t="s">
        <v>41</v>
      </c>
      <c r="E19" s="101" t="s">
        <v>35</v>
      </c>
      <c r="F19" s="102">
        <v>33664</v>
      </c>
      <c r="G19" s="128">
        <v>2350</v>
      </c>
      <c r="H19" s="103">
        <v>10</v>
      </c>
    </row>
    <row r="20" spans="1:8" ht="24.75" customHeight="1">
      <c r="A20" s="97">
        <v>15</v>
      </c>
      <c r="B20" s="98">
        <v>577</v>
      </c>
      <c r="C20" s="99" t="s">
        <v>65</v>
      </c>
      <c r="D20" s="99" t="s">
        <v>66</v>
      </c>
      <c r="E20" s="101" t="s">
        <v>54</v>
      </c>
      <c r="F20" s="102">
        <v>34746</v>
      </c>
      <c r="G20" s="128">
        <v>2417</v>
      </c>
      <c r="H20" s="103">
        <v>10</v>
      </c>
    </row>
    <row r="21" spans="1:8" ht="24.75" customHeight="1">
      <c r="A21" s="97">
        <v>16</v>
      </c>
      <c r="B21" s="98">
        <v>463</v>
      </c>
      <c r="C21" s="99" t="s">
        <v>49</v>
      </c>
      <c r="D21" s="99" t="s">
        <v>47</v>
      </c>
      <c r="E21" s="101" t="s">
        <v>35</v>
      </c>
      <c r="F21" s="102">
        <v>34600</v>
      </c>
      <c r="G21" s="128">
        <v>2424</v>
      </c>
      <c r="H21" s="103">
        <v>11</v>
      </c>
    </row>
    <row r="22" spans="1:8" ht="24.75" customHeight="1">
      <c r="A22" s="97">
        <v>17</v>
      </c>
      <c r="B22" s="98">
        <v>462</v>
      </c>
      <c r="C22" s="99" t="s">
        <v>48</v>
      </c>
      <c r="D22" s="99" t="s">
        <v>47</v>
      </c>
      <c r="E22" s="101" t="s">
        <v>35</v>
      </c>
      <c r="F22" s="102">
        <v>34276</v>
      </c>
      <c r="G22" s="128">
        <v>2522</v>
      </c>
      <c r="H22" s="103">
        <v>12</v>
      </c>
    </row>
    <row r="23" spans="1:8" ht="24.75" customHeight="1">
      <c r="A23" s="97">
        <v>18</v>
      </c>
      <c r="B23" s="98">
        <v>464</v>
      </c>
      <c r="C23" s="99" t="s">
        <v>50</v>
      </c>
      <c r="D23" s="99" t="s">
        <v>47</v>
      </c>
      <c r="E23" s="101" t="s">
        <v>35</v>
      </c>
      <c r="F23" s="102">
        <v>34986</v>
      </c>
      <c r="G23" s="128">
        <v>2526</v>
      </c>
      <c r="H23" s="103">
        <v>13</v>
      </c>
    </row>
    <row r="24" spans="1:8" ht="24.75" customHeight="1">
      <c r="A24" s="97">
        <v>19</v>
      </c>
      <c r="B24" s="98">
        <v>580</v>
      </c>
      <c r="C24" s="99" t="s">
        <v>69</v>
      </c>
      <c r="D24" s="99" t="s">
        <v>66</v>
      </c>
      <c r="E24" s="101" t="s">
        <v>54</v>
      </c>
      <c r="F24" s="102">
        <v>34531</v>
      </c>
      <c r="G24" s="128">
        <v>2540</v>
      </c>
      <c r="H24" s="103">
        <v>13</v>
      </c>
    </row>
    <row r="25" spans="1:8" ht="24.75" customHeight="1">
      <c r="A25" s="97">
        <v>20</v>
      </c>
      <c r="B25" s="98">
        <v>578</v>
      </c>
      <c r="C25" s="99" t="s">
        <v>67</v>
      </c>
      <c r="D25" s="99" t="s">
        <v>66</v>
      </c>
      <c r="E25" s="101" t="s">
        <v>54</v>
      </c>
      <c r="F25" s="102">
        <v>34625</v>
      </c>
      <c r="G25" s="128">
        <v>2603</v>
      </c>
      <c r="H25" s="103">
        <v>13</v>
      </c>
    </row>
    <row r="26" spans="1:8" ht="24.75" customHeight="1">
      <c r="A26" s="97">
        <v>21</v>
      </c>
      <c r="B26" s="98">
        <v>579</v>
      </c>
      <c r="C26" s="99" t="s">
        <v>68</v>
      </c>
      <c r="D26" s="99" t="s">
        <v>66</v>
      </c>
      <c r="E26" s="101" t="s">
        <v>54</v>
      </c>
      <c r="F26" s="102">
        <v>34442</v>
      </c>
      <c r="G26" s="128">
        <v>2626</v>
      </c>
      <c r="H26" s="103">
        <v>13</v>
      </c>
    </row>
    <row r="27" spans="1:8" ht="24.75" customHeight="1">
      <c r="A27" s="97">
        <v>22</v>
      </c>
      <c r="B27" s="98">
        <v>465</v>
      </c>
      <c r="C27" s="99" t="s">
        <v>51</v>
      </c>
      <c r="D27" s="99" t="s">
        <v>47</v>
      </c>
      <c r="E27" s="101" t="s">
        <v>35</v>
      </c>
      <c r="F27" s="102">
        <v>34066</v>
      </c>
      <c r="G27" s="128">
        <v>2703</v>
      </c>
      <c r="H27" s="103">
        <v>14</v>
      </c>
    </row>
    <row r="28" spans="1:8" ht="24.75" customHeight="1">
      <c r="A28" s="97" t="s">
        <v>74</v>
      </c>
      <c r="B28" s="98">
        <v>575</v>
      </c>
      <c r="C28" s="99" t="s">
        <v>61</v>
      </c>
      <c r="D28" s="99" t="s">
        <v>62</v>
      </c>
      <c r="E28" s="101" t="s">
        <v>54</v>
      </c>
      <c r="F28" s="102">
        <v>35319</v>
      </c>
      <c r="G28" s="128" t="s">
        <v>73</v>
      </c>
      <c r="H28" s="103" t="s">
        <v>74</v>
      </c>
    </row>
    <row r="29" spans="1:8" ht="24.75" customHeight="1">
      <c r="A29" s="97" t="s">
        <v>74</v>
      </c>
      <c r="B29" s="98">
        <v>572</v>
      </c>
      <c r="C29" s="99" t="s">
        <v>55</v>
      </c>
      <c r="D29" s="99" t="s">
        <v>56</v>
      </c>
      <c r="E29" s="101" t="s">
        <v>54</v>
      </c>
      <c r="F29" s="102">
        <v>30682</v>
      </c>
      <c r="G29" s="128" t="s">
        <v>73</v>
      </c>
      <c r="H29" s="103" t="s">
        <v>74</v>
      </c>
    </row>
    <row r="30" spans="1:8" ht="24.75" customHeight="1">
      <c r="A30" s="97" t="s">
        <v>74</v>
      </c>
      <c r="B30" s="98">
        <v>452</v>
      </c>
      <c r="C30" s="99" t="s">
        <v>36</v>
      </c>
      <c r="D30" s="99" t="s">
        <v>34</v>
      </c>
      <c r="E30" s="101" t="s">
        <v>35</v>
      </c>
      <c r="F30" s="102">
        <v>32406</v>
      </c>
      <c r="G30" s="128" t="s">
        <v>73</v>
      </c>
      <c r="H30" s="103" t="s">
        <v>74</v>
      </c>
    </row>
  </sheetData>
  <sheetProtection/>
  <mergeCells count="5">
    <mergeCell ref="A4:C4"/>
    <mergeCell ref="A1:H1"/>
    <mergeCell ref="A2:H2"/>
    <mergeCell ref="A3:H3"/>
    <mergeCell ref="F4:H4"/>
  </mergeCells>
  <conditionalFormatting sqref="H6:H30">
    <cfRule type="containsText" priority="3" dxfId="15" operator="containsText" stopIfTrue="1" text="$E$7=&quot;&quot;F&quot;&quot;">
      <formula>NOT(ISERROR(SEARCH("$E$7=""F""",H6)))</formula>
    </cfRule>
    <cfRule type="containsText" priority="5" dxfId="15" operator="containsText" stopIfTrue="1" text="F=E7">
      <formula>NOT(ISERROR(SEARCH("F=E7",H6)))</formula>
    </cfRule>
  </conditionalFormatting>
  <conditionalFormatting sqref="B6:B30">
    <cfRule type="duplicateValues" priority="1" dxfId="15" stopIfTrue="1">
      <formula>AND(COUNTIF($B$6:$B$30,B6)&gt;1,NOT(ISBLANK(B6)))</formula>
    </cfRule>
  </conditionalFormatting>
  <printOptions horizontalCentered="1"/>
  <pageMargins left="0.55" right="0.2362204724409449" top="0.6299212598425197" bottom="0.4330708661417323" header="0.3937007874015748" footer="0.2362204724409449"/>
  <pageSetup horizontalDpi="300" verticalDpi="300" orientation="portrait" paperSize="9" scale="8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AZ317"/>
  <sheetViews>
    <sheetView view="pageBreakPreview" zoomScaleSheetLayoutView="100" zoomScalePageLayoutView="0" workbookViewId="0" topLeftCell="A1">
      <selection activeCell="M8" sqref="M8"/>
    </sheetView>
  </sheetViews>
  <sheetFormatPr defaultColWidth="9.00390625" defaultRowHeight="12.75"/>
  <cols>
    <col min="1" max="1" width="6.625" style="40" customWidth="1"/>
    <col min="2" max="2" width="30.25390625" style="39" customWidth="1"/>
    <col min="3" max="3" width="6.75390625" style="39" customWidth="1"/>
    <col min="4" max="4" width="26.25390625" style="39" customWidth="1"/>
    <col min="5" max="5" width="6.625" style="39" bestFit="1" customWidth="1"/>
    <col min="6" max="6" width="7.75390625" style="126" customWidth="1"/>
    <col min="7" max="7" width="9.75390625" style="39" hidden="1" customWidth="1"/>
    <col min="8" max="8" width="7.75390625" style="39" customWidth="1"/>
    <col min="9" max="9" width="5.125" style="39" hidden="1" customWidth="1"/>
    <col min="10" max="10" width="7.375" style="40" customWidth="1"/>
    <col min="11" max="11" width="8.875" style="39" customWidth="1"/>
    <col min="12" max="51" width="9.125" style="39" customWidth="1"/>
    <col min="52" max="52" width="9.25390625" style="41" hidden="1" customWidth="1"/>
    <col min="53" max="16384" width="9.125" style="39" customWidth="1"/>
  </cols>
  <sheetData>
    <row r="1" spans="1:52" s="29" customFormat="1" ht="30" customHeight="1">
      <c r="A1" s="178" t="str">
        <f>KAPAK!A2</f>
        <v>Türkiye Atletizm Federasyonu
Ankara Atletizm İl Temsilciliği</v>
      </c>
      <c r="B1" s="178"/>
      <c r="C1" s="178"/>
      <c r="D1" s="178"/>
      <c r="E1" s="178"/>
      <c r="F1" s="178"/>
      <c r="G1" s="178"/>
      <c r="H1" s="178"/>
      <c r="I1" s="178"/>
      <c r="J1" s="178"/>
      <c r="AZ1" s="30"/>
    </row>
    <row r="2" spans="1:52" s="29" customFormat="1" ht="15.75">
      <c r="A2" s="179" t="str">
        <f>KAPAK!B25</f>
        <v>Atatürk'ü Anma Kros Yarışmaları</v>
      </c>
      <c r="B2" s="179"/>
      <c r="C2" s="179"/>
      <c r="D2" s="179"/>
      <c r="E2" s="179"/>
      <c r="F2" s="179"/>
      <c r="G2" s="179"/>
      <c r="H2" s="179"/>
      <c r="I2" s="179"/>
      <c r="J2" s="179"/>
      <c r="AZ2" s="30"/>
    </row>
    <row r="3" spans="1:52" s="29" customFormat="1" ht="14.25">
      <c r="A3" s="180" t="str">
        <f>KAPAK!B28</f>
        <v>Ankara</v>
      </c>
      <c r="B3" s="180"/>
      <c r="C3" s="180"/>
      <c r="D3" s="180"/>
      <c r="E3" s="180"/>
      <c r="F3" s="180"/>
      <c r="G3" s="180"/>
      <c r="H3" s="180"/>
      <c r="I3" s="180"/>
      <c r="J3" s="180"/>
      <c r="AZ3" s="30"/>
    </row>
    <row r="4" spans="1:52" s="29" customFormat="1" ht="18" customHeight="1">
      <c r="A4" s="45" t="str">
        <f>KAPAK!B27</f>
        <v>Üniversiteli Erkekler</v>
      </c>
      <c r="B4" s="45"/>
      <c r="C4" s="181" t="str">
        <f>KAPAK!B26</f>
        <v>6 km.</v>
      </c>
      <c r="D4" s="181"/>
      <c r="E4" s="57"/>
      <c r="F4" s="177">
        <f>KAPAK!B29</f>
        <v>41953.50347222222</v>
      </c>
      <c r="G4" s="177"/>
      <c r="H4" s="177"/>
      <c r="I4" s="177"/>
      <c r="J4" s="177"/>
      <c r="AZ4" s="30"/>
    </row>
    <row r="5" spans="1:52" s="18" customFormat="1" ht="30" customHeight="1">
      <c r="A5" s="42" t="s">
        <v>5</v>
      </c>
      <c r="B5" s="16" t="s">
        <v>29</v>
      </c>
      <c r="C5" s="58" t="s">
        <v>1</v>
      </c>
      <c r="D5" s="16" t="s">
        <v>3</v>
      </c>
      <c r="E5" s="55" t="s">
        <v>8</v>
      </c>
      <c r="F5" s="123" t="s">
        <v>7</v>
      </c>
      <c r="G5" s="16" t="s">
        <v>9</v>
      </c>
      <c r="H5" s="16" t="s">
        <v>15</v>
      </c>
      <c r="I5" s="17" t="s">
        <v>20</v>
      </c>
      <c r="J5" s="16" t="s">
        <v>6</v>
      </c>
      <c r="K5" s="19"/>
      <c r="L5" s="19"/>
      <c r="M5" s="19"/>
      <c r="AZ5" s="20"/>
    </row>
    <row r="6" spans="1:52" s="29" customFormat="1" ht="15" customHeight="1">
      <c r="A6" s="21"/>
      <c r="B6" s="23"/>
      <c r="C6" s="24">
        <v>451</v>
      </c>
      <c r="D6" s="54" t="str">
        <f>IF(ISERROR(VLOOKUP($C6,'START LİSTE'!$B$6:$G$1006,2,0)),"",VLOOKUP($C6,'START LİSTE'!$B$6:$G$1006,2,0))</f>
        <v>VEDAT GÖNEN</v>
      </c>
      <c r="E6" s="26" t="str">
        <f>IF(ISERROR(VLOOKUP($C6,'START LİSTE'!$B$6:$G$1006,4,0)),"",VLOOKUP($C6,'START LİSTE'!$B$6:$G$1006,4,0))</f>
        <v>T</v>
      </c>
      <c r="F6" s="130">
        <f>IF(ISERROR(VLOOKUP($C6,'FERDİ SONUÇ'!$B$6:$H$819,6,0)),"",VLOOKUP($C6,'FERDİ SONUÇ'!$B$6:$H$819,6,0))</f>
        <v>1741</v>
      </c>
      <c r="G6" s="27">
        <f>IF(OR(E6="",F6="DQ",F6="DNF",F6="DNS",F6=""),"-",VLOOKUP(C6,'FERDİ SONUÇ'!$B$6:$H$819,7,0))</f>
        <v>2</v>
      </c>
      <c r="H6" s="27">
        <f>IF(OR(E6="",E6="F",F6="DQ",F6="DNF",F6="DNS",F6=""),"-",VLOOKUP(C6,'FERDİ SONUÇ'!$B$6:$H$819,7,0))</f>
        <v>2</v>
      </c>
      <c r="I6" s="28">
        <f>IF(ISERROR(SMALL(H6:H10,1)),"-",SMALL(H6:H10,1))</f>
        <v>2</v>
      </c>
      <c r="J6" s="22"/>
      <c r="AZ6" s="30">
        <v>1000</v>
      </c>
    </row>
    <row r="7" spans="1:52" s="29" customFormat="1" ht="15" customHeight="1">
      <c r="A7" s="31"/>
      <c r="B7" s="33"/>
      <c r="C7" s="34">
        <v>452</v>
      </c>
      <c r="D7" s="35" t="str">
        <f>IF(ISERROR(VLOOKUP($C7,'START LİSTE'!$B$6:$G$1006,2,0)),"",VLOOKUP($C7,'START LİSTE'!$B$6:$G$1006,2,0))</f>
        <v>SEDAT GÖNEN</v>
      </c>
      <c r="E7" s="36" t="str">
        <f>IF(ISERROR(VLOOKUP($C7,'START LİSTE'!$B$6:$G$1006,4,0)),"",VLOOKUP($C7,'START LİSTE'!$B$6:$G$1006,4,0))</f>
        <v>T</v>
      </c>
      <c r="F7" s="131" t="str">
        <f>IF(ISERROR(VLOOKUP($C7,'FERDİ SONUÇ'!$B$6:$H$819,6,0)),"",VLOOKUP($C7,'FERDİ SONUÇ'!$B$6:$H$819,6,0))</f>
        <v>DNS</v>
      </c>
      <c r="G7" s="37" t="str">
        <f>IF(OR(E7="",F7="DQ",F7="DNF",F7="DNS",F7=""),"-",VLOOKUP(C7,'FERDİ SONUÇ'!$B$6:$H$819,7,0))</f>
        <v>-</v>
      </c>
      <c r="H7" s="37" t="str">
        <f>IF(OR(E7="",E7="F",F7="DQ",F7="DNF",F7="DNS",F7=""),"-",VLOOKUP(C7,'FERDİ SONUÇ'!$B$6:$H$819,7,0))</f>
        <v>-</v>
      </c>
      <c r="I7" s="38">
        <f>IF(ISERROR(SMALL(H6:H10,2)),"-",SMALL(H6:H10,2))</f>
        <v>3</v>
      </c>
      <c r="J7" s="32"/>
      <c r="AZ7" s="30">
        <v>1001</v>
      </c>
    </row>
    <row r="8" spans="1:52" s="29" customFormat="1" ht="15" customHeight="1">
      <c r="A8" s="44">
        <f>IF(AND(B8&lt;&gt;"",J8&lt;&gt;"DQ"),COUNT(J$6:J$305)-(RANK(J8,J$6:J$305)+COUNTIF(J$6:J8,J8))+2,IF(C6&lt;&gt;"",AZ8,""))</f>
        <v>1</v>
      </c>
      <c r="B8" s="33" t="str">
        <f>IF(ISERROR(VLOOKUP(C6,'START LİSTE'!$B$6:$G$1006,3,0)),"",VLOOKUP(C6,'START LİSTE'!$B$6:$G$1006,3,0))</f>
        <v>AĞRI- İBRAHİM ÇEÇEN ÜNİ.</v>
      </c>
      <c r="C8" s="34">
        <v>453</v>
      </c>
      <c r="D8" s="35" t="str">
        <f>IF(ISERROR(VLOOKUP($C8,'START LİSTE'!$B$6:$G$1006,2,0)),"",VLOOKUP($C8,'START LİSTE'!$B$6:$G$1006,2,0))</f>
        <v>ADEM KARAGÖZ</v>
      </c>
      <c r="E8" s="36" t="str">
        <f>IF(ISERROR(VLOOKUP($C8,'START LİSTE'!$B$6:$G$1006,4,0)),"",VLOOKUP($C8,'START LİSTE'!$B$6:$G$1006,4,0))</f>
        <v>T</v>
      </c>
      <c r="F8" s="131">
        <f>IF(ISERROR(VLOOKUP($C8,'FERDİ SONUÇ'!$B$6:$H$819,6,0)),"",VLOOKUP($C8,'FERDİ SONUÇ'!$B$6:$H$819,6,0))</f>
        <v>2003</v>
      </c>
      <c r="G8" s="37">
        <f>IF(OR(E8="",F8="DQ",F8="DNF",F8="DNS",F8=""),"-",VLOOKUP(C8,'FERDİ SONUÇ'!$B$6:$H$819,7,0))</f>
        <v>5</v>
      </c>
      <c r="H8" s="37">
        <f>IF(OR(E8="",E8="F",F8="DQ",F8="DNF",F8="DNS",F8=""),"-",VLOOKUP(C8,'FERDİ SONUÇ'!$B$6:$H$819,7,0))</f>
        <v>5</v>
      </c>
      <c r="I8" s="38">
        <f>IF(ISERROR(SMALL(H6:H10,3)),"-",SMALL(H6:H10,3))</f>
        <v>4</v>
      </c>
      <c r="J8" s="43">
        <f>IF(C6="","",IF(OR(I6="-",I7="-",I8="-",I9="-"),"DQ",SUM(I6,I7,I8,I9)))</f>
        <v>14</v>
      </c>
      <c r="AZ8" s="30">
        <v>1002</v>
      </c>
    </row>
    <row r="9" spans="1:52" s="29" customFormat="1" ht="15" customHeight="1">
      <c r="A9" s="31"/>
      <c r="B9" s="33"/>
      <c r="C9" s="34">
        <v>454</v>
      </c>
      <c r="D9" s="35" t="str">
        <f>IF(ISERROR(VLOOKUP($C9,'START LİSTE'!$B$6:$G$1006,2,0)),"",VLOOKUP($C9,'START LİSTE'!$B$6:$G$1006,2,0))</f>
        <v>ŞEHMUS SARIHAN</v>
      </c>
      <c r="E9" s="36" t="str">
        <f>IF(ISERROR(VLOOKUP($C9,'START LİSTE'!$B$6:$G$1006,4,0)),"",VLOOKUP($C9,'START LİSTE'!$B$6:$G$1006,4,0))</f>
        <v>T</v>
      </c>
      <c r="F9" s="131">
        <f>IF(ISERROR(VLOOKUP($C9,'FERDİ SONUÇ'!$B$6:$H$819,6,0)),"",VLOOKUP($C9,'FERDİ SONUÇ'!$B$6:$H$819,6,0))</f>
        <v>1917</v>
      </c>
      <c r="G9" s="37">
        <f>IF(OR(E9="",F9="DQ",F9="DNF",F9="DNS",F9=""),"-",VLOOKUP(C9,'FERDİ SONUÇ'!$B$6:$H$819,7,0))</f>
        <v>4</v>
      </c>
      <c r="H9" s="37">
        <f>IF(OR(E9="",E9="F",F9="DQ",F9="DNF",F9="DNS",F9=""),"-",VLOOKUP(C9,'FERDİ SONUÇ'!$B$6:$H$819,7,0))</f>
        <v>4</v>
      </c>
      <c r="I9" s="38">
        <f>IF(ISERROR(SMALL(H6:H10,4)),"-",SMALL(H6:H10,4))</f>
        <v>5</v>
      </c>
      <c r="J9" s="32"/>
      <c r="AZ9" s="30">
        <v>1003</v>
      </c>
    </row>
    <row r="10" spans="1:52" s="29" customFormat="1" ht="15" customHeight="1">
      <c r="A10" s="31"/>
      <c r="B10" s="33"/>
      <c r="C10" s="47">
        <v>455</v>
      </c>
      <c r="D10" s="35" t="str">
        <f>IF(ISERROR(VLOOKUP($C10,'START LİSTE'!$B$6:$G$1006,2,0)),"",VLOOKUP($C10,'START LİSTE'!$B$6:$G$1006,2,0))</f>
        <v>DAVUT SASA</v>
      </c>
      <c r="E10" s="36" t="str">
        <f>IF(ISERROR(VLOOKUP($C10,'START LİSTE'!$B$6:$G$1006,4,0)),"",VLOOKUP($C10,'START LİSTE'!$B$6:$G$1006,4,0))</f>
        <v>T</v>
      </c>
      <c r="F10" s="131">
        <f>IF(ISERROR(VLOOKUP($C10,'FERDİ SONUÇ'!$B$6:$H$819,6,0)),"",VLOOKUP($C10,'FERDİ SONUÇ'!$B$6:$H$819,6,0))</f>
        <v>1845</v>
      </c>
      <c r="G10" s="37">
        <f>IF(OR(E10="",F10="DQ",F10="DNF",F10="DNS",F10=""),"-",VLOOKUP(C10,'FERDİ SONUÇ'!$B$6:$H$819,7,0))</f>
        <v>3</v>
      </c>
      <c r="H10" s="37">
        <f>IF(OR(E10="",E10="F",F10="DQ",F10="DNF",F10="DNS",F10=""),"-",VLOOKUP(C10,'FERDİ SONUÇ'!$B$6:$H$819,7,0))</f>
        <v>3</v>
      </c>
      <c r="I10" s="38" t="str">
        <f>IF(ISERROR(SMALL(H6:H10,5)),"-",SMALL(H6:H10,5))</f>
        <v>-</v>
      </c>
      <c r="J10" s="32"/>
      <c r="AZ10" s="30">
        <v>1004</v>
      </c>
    </row>
    <row r="11" spans="1:52" ht="15" customHeight="1">
      <c r="A11" s="21"/>
      <c r="B11" s="23"/>
      <c r="C11" s="46">
        <v>456</v>
      </c>
      <c r="D11" s="25" t="str">
        <f>IF(ISERROR(VLOOKUP($C11,'START LİSTE'!$B$6:$G$1006,2,0)),"",VLOOKUP($C11,'START LİSTE'!$B$6:$G$1006,2,0))</f>
        <v>MUZFFER BAYRAM</v>
      </c>
      <c r="E11" s="26" t="str">
        <f>IF(ISERROR(VLOOKUP($C11,'START LİSTE'!$B$6:$G$1006,4,0)),"",VLOOKUP($C11,'START LİSTE'!$B$6:$G$1006,4,0))</f>
        <v>T</v>
      </c>
      <c r="F11" s="130">
        <f>IF(ISERROR(VLOOKUP($C11,'FERDİ SONUÇ'!$B$6:$H$819,6,0)),"",VLOOKUP($C11,'FERDİ SONUÇ'!$B$6:$H$819,6,0))</f>
        <v>1740</v>
      </c>
      <c r="G11" s="27">
        <f>IF(OR(E11="",F11="DQ",F11="DNF",F11="DNS",F11=""),"-",VLOOKUP(C11,'FERDİ SONUÇ'!$B$6:$H$819,7,0))</f>
        <v>1</v>
      </c>
      <c r="H11" s="27">
        <f>IF(OR(E11="",E11="F",F11="DQ",F11="DNF",F11="DNS",F11=""),"-",VLOOKUP(C11,'FERDİ SONUÇ'!$B$6:$H$819,7,0))</f>
        <v>1</v>
      </c>
      <c r="I11" s="28">
        <f>IF(ISERROR(SMALL(H11:H15,1)),"-",SMALL(H11:H15,1))</f>
        <v>1</v>
      </c>
      <c r="J11" s="22"/>
      <c r="AZ11" s="30">
        <v>1006</v>
      </c>
    </row>
    <row r="12" spans="1:52" ht="15" customHeight="1">
      <c r="A12" s="31"/>
      <c r="B12" s="33"/>
      <c r="C12" s="34">
        <v>457</v>
      </c>
      <c r="D12" s="35" t="str">
        <f>IF(ISERROR(VLOOKUP($C12,'START LİSTE'!$B$6:$G$1006,2,0)),"",VLOOKUP($C12,'START LİSTE'!$B$6:$G$1006,2,0))</f>
        <v>M. ALİ TOSUN</v>
      </c>
      <c r="E12" s="36" t="str">
        <f>IF(ISERROR(VLOOKUP($C12,'START LİSTE'!$B$6:$G$1006,4,0)),"",VLOOKUP($C12,'START LİSTE'!$B$6:$G$1006,4,0))</f>
        <v>T</v>
      </c>
      <c r="F12" s="131">
        <f>IF(ISERROR(VLOOKUP($C12,'FERDİ SONUÇ'!$B$6:$H$819,6,0)),"",VLOOKUP($C12,'FERDİ SONUÇ'!$B$6:$H$819,6,0))</f>
        <v>2030</v>
      </c>
      <c r="G12" s="37">
        <f>IF(OR(E12="",F12="DQ",F12="DNF",F12="DNS",F12=""),"-",VLOOKUP(C12,'FERDİ SONUÇ'!$B$6:$H$819,7,0))</f>
        <v>6</v>
      </c>
      <c r="H12" s="37">
        <f>IF(OR(E12="",E12="F",F12="DQ",F12="DNF",F12="DNS",F12=""),"-",VLOOKUP(C12,'FERDİ SONUÇ'!$B$6:$H$819,7,0))</f>
        <v>6</v>
      </c>
      <c r="I12" s="38">
        <f>IF(ISERROR(SMALL(H11:H15,2)),"-",SMALL(H11:H15,2))</f>
        <v>6</v>
      </c>
      <c r="J12" s="32"/>
      <c r="AZ12" s="30">
        <v>1007</v>
      </c>
    </row>
    <row r="13" spans="1:52" ht="15" customHeight="1">
      <c r="A13" s="44">
        <f>IF(AND(B13&lt;&gt;"",J13&lt;&gt;"DQ"),COUNT(J$6:J$305)-(RANK(J13,J$6:J$305)+COUNTIF(J$6:J13,J13))+2,IF(C11&lt;&gt;"",AZ13,""))</f>
        <v>2</v>
      </c>
      <c r="B13" s="33" t="str">
        <f>IF(ISERROR(VLOOKUP(C11,'START LİSTE'!$B$6:$G$1006,3,0)),"",VLOOKUP(C11,'START LİSTE'!$B$6:$G$1006,3,0))</f>
        <v>NİĞDE - NİĞDE ÜNİVERSİTESİ</v>
      </c>
      <c r="C13" s="34">
        <v>458</v>
      </c>
      <c r="D13" s="35" t="str">
        <f>IF(ISERROR(VLOOKUP($C13,'START LİSTE'!$B$6:$G$1006,2,0)),"",VLOOKUP($C13,'START LİSTE'!$B$6:$G$1006,2,0))</f>
        <v>MUSTAFA ŞAHİN</v>
      </c>
      <c r="E13" s="36" t="str">
        <f>IF(ISERROR(VLOOKUP($C13,'START LİSTE'!$B$6:$G$1006,4,0)),"",VLOOKUP($C13,'START LİSTE'!$B$6:$G$1006,4,0))</f>
        <v>T</v>
      </c>
      <c r="F13" s="131">
        <f>IF(ISERROR(VLOOKUP($C13,'FERDİ SONUÇ'!$B$6:$H$819,6,0)),"",VLOOKUP($C13,'FERDİ SONUÇ'!$B$6:$H$819,6,0))</f>
        <v>2106</v>
      </c>
      <c r="G13" s="37">
        <f>IF(OR(E13="",F13="DQ",F13="DNF",F13="DNS",F13=""),"-",VLOOKUP(C13,'FERDİ SONUÇ'!$B$6:$H$819,7,0))</f>
        <v>7</v>
      </c>
      <c r="H13" s="37">
        <f>IF(OR(E13="",E13="F",F13="DQ",F13="DNF",F13="DNS",F13=""),"-",VLOOKUP(C13,'FERDİ SONUÇ'!$B$6:$H$819,7,0))</f>
        <v>7</v>
      </c>
      <c r="I13" s="38">
        <f>IF(ISERROR(SMALL(H11:H15,3)),"-",SMALL(H11:H15,3))</f>
        <v>7</v>
      </c>
      <c r="J13" s="43">
        <f>IF(C11="","",IF(OR(I11="-",I12="-",I13="-",I14="-"),"DQ",SUM(I11,I12,I13,I14)))</f>
        <v>22</v>
      </c>
      <c r="AZ13" s="30">
        <v>1008</v>
      </c>
    </row>
    <row r="14" spans="1:52" ht="15" customHeight="1">
      <c r="A14" s="31"/>
      <c r="B14" s="33"/>
      <c r="C14" s="34">
        <v>459</v>
      </c>
      <c r="D14" s="35" t="str">
        <f>IF(ISERROR(VLOOKUP($C14,'START LİSTE'!$B$6:$G$1006,2,0)),"",VLOOKUP($C14,'START LİSTE'!$B$6:$G$1006,2,0))</f>
        <v>EREN YILDIZ</v>
      </c>
      <c r="E14" s="36" t="str">
        <f>IF(ISERROR(VLOOKUP($C14,'START LİSTE'!$B$6:$G$1006,4,0)),"",VLOOKUP($C14,'START LİSTE'!$B$6:$G$1006,4,0))</f>
        <v>T</v>
      </c>
      <c r="F14" s="131">
        <f>IF(ISERROR(VLOOKUP($C14,'FERDİ SONUÇ'!$B$6:$H$819,6,0)),"",VLOOKUP($C14,'FERDİ SONUÇ'!$B$6:$H$819,6,0))</f>
        <v>2245</v>
      </c>
      <c r="G14" s="37">
        <f>IF(OR(E14="",F14="DQ",F14="DNF",F14="DNS",F14=""),"-",VLOOKUP(C14,'FERDİ SONUÇ'!$B$6:$H$819,7,0))</f>
        <v>8</v>
      </c>
      <c r="H14" s="37">
        <f>IF(OR(E14="",E14="F",F14="DQ",F14="DNF",F14="DNS",F14=""),"-",VLOOKUP(C14,'FERDİ SONUÇ'!$B$6:$H$819,7,0))</f>
        <v>8</v>
      </c>
      <c r="I14" s="38">
        <f>IF(ISERROR(SMALL(H11:H15,4)),"-",SMALL(H11:H15,4))</f>
        <v>8</v>
      </c>
      <c r="J14" s="32"/>
      <c r="AZ14" s="30">
        <v>1009</v>
      </c>
    </row>
    <row r="15" spans="1:52" ht="15" customHeight="1">
      <c r="A15" s="31"/>
      <c r="B15" s="33"/>
      <c r="C15" s="47">
        <v>460</v>
      </c>
      <c r="D15" s="35" t="str">
        <f>IF(ISERROR(VLOOKUP($C15,'START LİSTE'!$B$6:$G$1006,2,0)),"",VLOOKUP($C15,'START LİSTE'!$B$6:$G$1006,2,0))</f>
        <v>GÖKHAN SALDUZ</v>
      </c>
      <c r="E15" s="36" t="str">
        <f>IF(ISERROR(VLOOKUP($C15,'START LİSTE'!$B$6:$G$1006,4,0)),"",VLOOKUP($C15,'START LİSTE'!$B$6:$G$1006,4,0))</f>
        <v>T</v>
      </c>
      <c r="F15" s="131">
        <f>IF(ISERROR(VLOOKUP($C15,'FERDİ SONUÇ'!$B$6:$H$819,6,0)),"",VLOOKUP($C15,'FERDİ SONUÇ'!$B$6:$H$819,6,0))</f>
        <v>2350</v>
      </c>
      <c r="G15" s="37">
        <f>IF(OR(E15="",F15="DQ",F15="DNF",F15="DNS",F15=""),"-",VLOOKUP(C15,'FERDİ SONUÇ'!$B$6:$H$819,7,0))</f>
        <v>10</v>
      </c>
      <c r="H15" s="37">
        <f>IF(OR(E15="",E15="F",F15="DQ",F15="DNF",F15="DNS",F15=""),"-",VLOOKUP(C15,'FERDİ SONUÇ'!$B$6:$H$819,7,0))</f>
        <v>10</v>
      </c>
      <c r="I15" s="38">
        <f>IF(ISERROR(SMALL(H11:H15,5)),"-",SMALL(H11:H15,5))</f>
        <v>10</v>
      </c>
      <c r="J15" s="32"/>
      <c r="AZ15" s="30">
        <v>1010</v>
      </c>
    </row>
    <row r="16" spans="1:52" ht="15" customHeight="1">
      <c r="A16" s="21"/>
      <c r="B16" s="23"/>
      <c r="C16" s="46">
        <v>461</v>
      </c>
      <c r="D16" s="25" t="str">
        <f>IF(ISERROR(VLOOKUP($C16,'START LİSTE'!$B$6:$G$1006,2,0)),"",VLOOKUP($C16,'START LİSTE'!$B$6:$G$1006,2,0))</f>
        <v>ABDULHAMİT DOĞAN</v>
      </c>
      <c r="E16" s="26" t="str">
        <f>IF(ISERROR(VLOOKUP($C16,'START LİSTE'!$B$6:$G$1006,4,0)),"",VLOOKUP($C16,'START LİSTE'!$B$6:$G$1006,4,0))</f>
        <v>T</v>
      </c>
      <c r="F16" s="130">
        <f>IF(ISERROR(VLOOKUP($C16,'FERDİ SONUÇ'!$B$6:$H$819,6,0)),"",VLOOKUP($C16,'FERDİ SONUÇ'!$B$6:$H$819,6,0))</f>
        <v>2301</v>
      </c>
      <c r="G16" s="27">
        <f>IF(OR(E16="",F16="DQ",F16="DNF",F16="DNS",F16=""),"-",VLOOKUP(C16,'FERDİ SONUÇ'!$B$6:$H$819,7,0))</f>
        <v>9</v>
      </c>
      <c r="H16" s="27">
        <f>IF(OR(E16="",E16="F",F16="DQ",F16="DNF",F16="DNS",F16=""),"-",VLOOKUP(C16,'FERDİ SONUÇ'!$B$6:$H$819,7,0))</f>
        <v>9</v>
      </c>
      <c r="I16" s="28">
        <f>IF(ISERROR(SMALL(H16:H20,1)),"-",SMALL(H16:H20,1))</f>
        <v>9</v>
      </c>
      <c r="J16" s="22"/>
      <c r="AZ16" s="30">
        <v>1012</v>
      </c>
    </row>
    <row r="17" spans="1:52" ht="15" customHeight="1">
      <c r="A17" s="31"/>
      <c r="B17" s="33"/>
      <c r="C17" s="34">
        <v>462</v>
      </c>
      <c r="D17" s="35" t="str">
        <f>IF(ISERROR(VLOOKUP($C17,'START LİSTE'!$B$6:$G$1006,2,0)),"",VLOOKUP($C17,'START LİSTE'!$B$6:$G$1006,2,0))</f>
        <v>MEHMET KÜÇÜKAKÇALI</v>
      </c>
      <c r="E17" s="36" t="str">
        <f>IF(ISERROR(VLOOKUP($C17,'START LİSTE'!$B$6:$G$1006,4,0)),"",VLOOKUP($C17,'START LİSTE'!$B$6:$G$1006,4,0))</f>
        <v>T</v>
      </c>
      <c r="F17" s="131">
        <f>IF(ISERROR(VLOOKUP($C17,'FERDİ SONUÇ'!$B$6:$H$819,6,0)),"",VLOOKUP($C17,'FERDİ SONUÇ'!$B$6:$H$819,6,0))</f>
        <v>2522</v>
      </c>
      <c r="G17" s="37">
        <f>IF(OR(E17="",F17="DQ",F17="DNF",F17="DNS",F17=""),"-",VLOOKUP(C17,'FERDİ SONUÇ'!$B$6:$H$819,7,0))</f>
        <v>12</v>
      </c>
      <c r="H17" s="37">
        <f>IF(OR(E17="",E17="F",F17="DQ",F17="DNF",F17="DNS",F17=""),"-",VLOOKUP(C17,'FERDİ SONUÇ'!$B$6:$H$819,7,0))</f>
        <v>12</v>
      </c>
      <c r="I17" s="38">
        <f>IF(ISERROR(SMALL(H16:H20,2)),"-",SMALL(H16:H20,2))</f>
        <v>11</v>
      </c>
      <c r="J17" s="32"/>
      <c r="AZ17" s="30">
        <v>1013</v>
      </c>
    </row>
    <row r="18" spans="1:52" ht="15" customHeight="1">
      <c r="A18" s="44">
        <f>IF(AND(B18&lt;&gt;"",J18&lt;&gt;"DQ"),COUNT(J$6:J$305)-(RANK(J18,J$6:J$305)+COUNTIF(J$6:J18,J18))+2,IF(C16&lt;&gt;"",AZ18,""))</f>
        <v>3</v>
      </c>
      <c r="B18" s="33" t="str">
        <f>IF(ISERROR(VLOOKUP(C16,'START LİSTE'!$B$6:$G$1006,3,0)),"",VLOOKUP(C16,'START LİSTE'!$B$6:$G$1006,3,0))</f>
        <v>ANKARA-POLİS AKADEMİSİ</v>
      </c>
      <c r="C18" s="34">
        <v>463</v>
      </c>
      <c r="D18" s="35" t="str">
        <f>IF(ISERROR(VLOOKUP($C18,'START LİSTE'!$B$6:$G$1006,2,0)),"",VLOOKUP($C18,'START LİSTE'!$B$6:$G$1006,2,0))</f>
        <v>ABDULKADİR KÖSEOĞLU</v>
      </c>
      <c r="E18" s="36" t="str">
        <f>IF(ISERROR(VLOOKUP($C18,'START LİSTE'!$B$6:$G$1006,4,0)),"",VLOOKUP($C18,'START LİSTE'!$B$6:$G$1006,4,0))</f>
        <v>T</v>
      </c>
      <c r="F18" s="131">
        <f>IF(ISERROR(VLOOKUP($C18,'FERDİ SONUÇ'!$B$6:$H$819,6,0)),"",VLOOKUP($C18,'FERDİ SONUÇ'!$B$6:$H$819,6,0))</f>
        <v>2424</v>
      </c>
      <c r="G18" s="37">
        <f>IF(OR(E18="",F18="DQ",F18="DNF",F18="DNS",F18=""),"-",VLOOKUP(C18,'FERDİ SONUÇ'!$B$6:$H$819,7,0))</f>
        <v>11</v>
      </c>
      <c r="H18" s="37">
        <f>IF(OR(E18="",E18="F",F18="DQ",F18="DNF",F18="DNS",F18=""),"-",VLOOKUP(C18,'FERDİ SONUÇ'!$B$6:$H$819,7,0))</f>
        <v>11</v>
      </c>
      <c r="I18" s="38">
        <f>IF(ISERROR(SMALL(H16:H20,3)),"-",SMALL(H16:H20,3))</f>
        <v>12</v>
      </c>
      <c r="J18" s="43">
        <f>IF(C16="","",IF(OR(I16="-",I17="-",I18="-",I19="-"),"DQ",SUM(I16,I17,I18,I19)))</f>
        <v>45</v>
      </c>
      <c r="AZ18" s="30">
        <v>1014</v>
      </c>
    </row>
    <row r="19" spans="1:52" ht="15" customHeight="1">
      <c r="A19" s="31"/>
      <c r="B19" s="33"/>
      <c r="C19" s="34">
        <v>464</v>
      </c>
      <c r="D19" s="35" t="str">
        <f>IF(ISERROR(VLOOKUP($C19,'START LİSTE'!$B$6:$G$1006,2,0)),"",VLOOKUP($C19,'START LİSTE'!$B$6:$G$1006,2,0))</f>
        <v>OSMANHAN CENGİZ</v>
      </c>
      <c r="E19" s="36" t="str">
        <f>IF(ISERROR(VLOOKUP($C19,'START LİSTE'!$B$6:$G$1006,4,0)),"",VLOOKUP($C19,'START LİSTE'!$B$6:$G$1006,4,0))</f>
        <v>T</v>
      </c>
      <c r="F19" s="131">
        <f>IF(ISERROR(VLOOKUP($C19,'FERDİ SONUÇ'!$B$6:$H$819,6,0)),"",VLOOKUP($C19,'FERDİ SONUÇ'!$B$6:$H$819,6,0))</f>
        <v>2526</v>
      </c>
      <c r="G19" s="37">
        <f>IF(OR(E19="",F19="DQ",F19="DNF",F19="DNS",F19=""),"-",VLOOKUP(C19,'FERDİ SONUÇ'!$B$6:$H$819,7,0))</f>
        <v>13</v>
      </c>
      <c r="H19" s="37">
        <f>IF(OR(E19="",E19="F",F19="DQ",F19="DNF",F19="DNS",F19=""),"-",VLOOKUP(C19,'FERDİ SONUÇ'!$B$6:$H$819,7,0))</f>
        <v>13</v>
      </c>
      <c r="I19" s="38">
        <f>IF(ISERROR(SMALL(H16:H20,4)),"-",SMALL(H16:H20,4))</f>
        <v>13</v>
      </c>
      <c r="J19" s="32"/>
      <c r="AZ19" s="30">
        <v>1015</v>
      </c>
    </row>
    <row r="20" spans="1:52" ht="15" customHeight="1">
      <c r="A20" s="31"/>
      <c r="B20" s="33"/>
      <c r="C20" s="47">
        <v>465</v>
      </c>
      <c r="D20" s="35" t="str">
        <f>IF(ISERROR(VLOOKUP($C20,'START LİSTE'!$B$6:$G$1006,2,0)),"",VLOOKUP($C20,'START LİSTE'!$B$6:$G$1006,2,0))</f>
        <v>İBRAHİM AVSUZ</v>
      </c>
      <c r="E20" s="36" t="str">
        <f>IF(ISERROR(VLOOKUP($C20,'START LİSTE'!$B$6:$G$1006,4,0)),"",VLOOKUP($C20,'START LİSTE'!$B$6:$G$1006,4,0))</f>
        <v>T</v>
      </c>
      <c r="F20" s="131">
        <f>IF(ISERROR(VLOOKUP($C20,'FERDİ SONUÇ'!$B$6:$H$819,6,0)),"",VLOOKUP($C20,'FERDİ SONUÇ'!$B$6:$H$819,6,0))</f>
        <v>2703</v>
      </c>
      <c r="G20" s="37">
        <f>IF(OR(E20="",F20="DQ",F20="DNF",F20="DNS",F20=""),"-",VLOOKUP(C20,'FERDİ SONUÇ'!$B$6:$H$819,7,0))</f>
        <v>14</v>
      </c>
      <c r="H20" s="37">
        <f>IF(OR(E20="",E20="F",F20="DQ",F20="DNF",F20="DNS",F20=""),"-",VLOOKUP(C20,'FERDİ SONUÇ'!$B$6:$H$819,7,0))</f>
        <v>14</v>
      </c>
      <c r="I20" s="38">
        <f>IF(ISERROR(SMALL(H16:H20,5)),"-",SMALL(H16:H20,5))</f>
        <v>14</v>
      </c>
      <c r="J20" s="32"/>
      <c r="AZ20" s="30">
        <v>1016</v>
      </c>
    </row>
    <row r="21" spans="1:52" ht="15" customHeight="1">
      <c r="A21" s="21"/>
      <c r="B21" s="23"/>
      <c r="C21" s="46"/>
      <c r="D21" s="25">
        <f>IF(ISERROR(VLOOKUP($C21,'START LİSTE'!$B$6:$G$1006,2,0)),"",VLOOKUP($C21,'START LİSTE'!$B$6:$G$1006,2,0))</f>
      </c>
      <c r="E21" s="26">
        <f>IF(ISERROR(VLOOKUP($C21,'START LİSTE'!$B$6:$G$1006,4,0)),"",VLOOKUP($C21,'START LİSTE'!$B$6:$G$1006,4,0))</f>
      </c>
      <c r="F21" s="130">
        <f>IF(ISERROR(VLOOKUP($C21,'FERDİ SONUÇ'!$B$6:$H$819,6,0)),"",VLOOKUP($C21,'FERDİ SONUÇ'!$B$6:$H$819,6,0))</f>
      </c>
      <c r="G21" s="26" t="str">
        <f>IF(OR(E21="",F21="DQ",F21="DNF",F21="DNS",F21=""),"-",VLOOKUP(C21,'FERDİ SONUÇ'!$B$6:$H$819,7,0))</f>
        <v>-</v>
      </c>
      <c r="H21" s="26" t="str">
        <f>IF(OR(E21="",E21="F",F21="DQ",F21="DNF",F21="DNS",F21=""),"-",VLOOKUP(C21,'FERDİ SONUÇ'!$B$6:$H$819,7,0))</f>
        <v>-</v>
      </c>
      <c r="I21" s="28" t="str">
        <f>IF(ISERROR(SMALL(H21:H25,1)),"-",SMALL(H21:H25,1))</f>
        <v>-</v>
      </c>
      <c r="J21" s="22"/>
      <c r="AZ21" s="30">
        <v>1018</v>
      </c>
    </row>
    <row r="22" spans="1:52" ht="15" customHeight="1">
      <c r="A22" s="31"/>
      <c r="B22" s="33"/>
      <c r="C22" s="34"/>
      <c r="D22" s="35">
        <f>IF(ISERROR(VLOOKUP($C22,'START LİSTE'!$B$6:$G$1006,2,0)),"",VLOOKUP($C22,'START LİSTE'!$B$6:$G$1006,2,0))</f>
      </c>
      <c r="E22" s="36">
        <f>IF(ISERROR(VLOOKUP($C22,'START LİSTE'!$B$6:$G$1006,4,0)),"",VLOOKUP($C22,'START LİSTE'!$B$6:$G$1006,4,0))</f>
      </c>
      <c r="F22" s="131">
        <f>IF(ISERROR(VLOOKUP($C22,'FERDİ SONUÇ'!$B$6:$H$819,6,0)),"",VLOOKUP($C22,'FERDİ SONUÇ'!$B$6:$H$819,6,0))</f>
      </c>
      <c r="G22" s="36" t="str">
        <f>IF(OR(E22="",F22="DQ",F22="DNF",F22="DNS",F22=""),"-",VLOOKUP(C22,'FERDİ SONUÇ'!$B$6:$H$819,7,0))</f>
        <v>-</v>
      </c>
      <c r="H22" s="36" t="str">
        <f>IF(OR(E22="",E22="F",F22="DQ",F22="DNF",F22="DNS",F22=""),"-",VLOOKUP(C22,'FERDİ SONUÇ'!$B$6:$H$819,7,0))</f>
        <v>-</v>
      </c>
      <c r="I22" s="38" t="str">
        <f>IF(ISERROR(SMALL(H21:H25,2)),"-",SMALL(H21:H25,2))</f>
        <v>-</v>
      </c>
      <c r="J22" s="32"/>
      <c r="AZ22" s="30">
        <v>1019</v>
      </c>
    </row>
    <row r="23" spans="1:52" ht="15" customHeight="1">
      <c r="A23" s="44">
        <f>IF(AND(B23&lt;&gt;"",J23&lt;&gt;"DQ"),COUNT(J$6:J$305)-(RANK(J23,J$6:J$305)+COUNTIF(J$6:J23,J23))+2,IF(C21&lt;&gt;"",AZ23,""))</f>
      </c>
      <c r="B23" s="33">
        <f>IF(ISERROR(VLOOKUP(C21,'START LİSTE'!$B$6:$G$1006,3,0)),"",VLOOKUP(C21,'START LİSTE'!$B$6:$G$1006,3,0))</f>
      </c>
      <c r="C23" s="34"/>
      <c r="D23" s="35">
        <f>IF(ISERROR(VLOOKUP($C23,'START LİSTE'!$B$6:$G$1006,2,0)),"",VLOOKUP($C23,'START LİSTE'!$B$6:$G$1006,2,0))</f>
      </c>
      <c r="E23" s="36">
        <f>IF(ISERROR(VLOOKUP($C23,'START LİSTE'!$B$6:$G$1006,4,0)),"",VLOOKUP($C23,'START LİSTE'!$B$6:$G$1006,4,0))</f>
      </c>
      <c r="F23" s="131">
        <f>IF(ISERROR(VLOOKUP($C23,'FERDİ SONUÇ'!$B$6:$H$819,6,0)),"",VLOOKUP($C23,'FERDİ SONUÇ'!$B$6:$H$819,6,0))</f>
      </c>
      <c r="G23" s="36" t="str">
        <f>IF(OR(E23="",F23="DQ",F23="DNF",F23="DNS",F23=""),"-",VLOOKUP(C23,'FERDİ SONUÇ'!$B$6:$H$819,7,0))</f>
        <v>-</v>
      </c>
      <c r="H23" s="36" t="str">
        <f>IF(OR(E23="",E23="F",F23="DQ",F23="DNF",F23="DNS",F23=""),"-",VLOOKUP(C23,'FERDİ SONUÇ'!$B$6:$H$819,7,0))</f>
        <v>-</v>
      </c>
      <c r="I23" s="38" t="str">
        <f>IF(ISERROR(SMALL(H21:H25,3)),"-",SMALL(H21:H25,3))</f>
        <v>-</v>
      </c>
      <c r="J23" s="43">
        <f>IF(C21="","",IF(OR(I21="-",I22="-",I23="-",I24="-"),"DQ",SUM(I21,I22,I23,I24)))</f>
      </c>
      <c r="AZ23" s="30">
        <v>1020</v>
      </c>
    </row>
    <row r="24" spans="1:52" ht="15" customHeight="1">
      <c r="A24" s="31"/>
      <c r="B24" s="33"/>
      <c r="C24" s="34"/>
      <c r="D24" s="35">
        <f>IF(ISERROR(VLOOKUP($C24,'START LİSTE'!$B$6:$G$1006,2,0)),"",VLOOKUP($C24,'START LİSTE'!$B$6:$G$1006,2,0))</f>
      </c>
      <c r="E24" s="36">
        <f>IF(ISERROR(VLOOKUP($C24,'START LİSTE'!$B$6:$G$1006,4,0)),"",VLOOKUP($C24,'START LİSTE'!$B$6:$G$1006,4,0))</f>
      </c>
      <c r="F24" s="131">
        <f>IF(ISERROR(VLOOKUP($C24,'FERDİ SONUÇ'!$B$6:$H$819,6,0)),"",VLOOKUP($C24,'FERDİ SONUÇ'!$B$6:$H$819,6,0))</f>
      </c>
      <c r="G24" s="36" t="str">
        <f>IF(OR(E24="",F24="DQ",F24="DNF",F24="DNS",F24=""),"-",VLOOKUP(C24,'FERDİ SONUÇ'!$B$6:$H$819,7,0))</f>
        <v>-</v>
      </c>
      <c r="H24" s="36" t="str">
        <f>IF(OR(E24="",E24="F",F24="DQ",F24="DNF",F24="DNS",F24=""),"-",VLOOKUP(C24,'FERDİ SONUÇ'!$B$6:$H$819,7,0))</f>
        <v>-</v>
      </c>
      <c r="I24" s="38" t="str">
        <f>IF(ISERROR(SMALL(H21:H25,4)),"-",SMALL(H21:H25,4))</f>
        <v>-</v>
      </c>
      <c r="J24" s="32"/>
      <c r="AZ24" s="30">
        <v>1021</v>
      </c>
    </row>
    <row r="25" spans="1:52" ht="15" customHeight="1">
      <c r="A25" s="31"/>
      <c r="B25" s="33"/>
      <c r="C25" s="47"/>
      <c r="D25" s="35">
        <f>IF(ISERROR(VLOOKUP($C25,'START LİSTE'!$B$6:$G$1006,2,0)),"",VLOOKUP($C25,'START LİSTE'!$B$6:$G$1006,2,0))</f>
      </c>
      <c r="E25" s="36">
        <f>IF(ISERROR(VLOOKUP($C25,'START LİSTE'!$B$6:$G$1006,4,0)),"",VLOOKUP($C25,'START LİSTE'!$B$6:$G$1006,4,0))</f>
      </c>
      <c r="F25" s="131">
        <f>IF(ISERROR(VLOOKUP($C25,'FERDİ SONUÇ'!$B$6:$H$819,6,0)),"",VLOOKUP($C25,'FERDİ SONUÇ'!$B$6:$H$819,6,0))</f>
      </c>
      <c r="G25" s="36" t="str">
        <f>IF(OR(E25="",F25="DQ",F25="DNF",F25="DNS",F25=""),"-",VLOOKUP(C25,'FERDİ SONUÇ'!$B$6:$H$819,7,0))</f>
        <v>-</v>
      </c>
      <c r="H25" s="36" t="str">
        <f>IF(OR(E25="",E25="F",F25="DQ",F25="DNF",F25="DNS",F25=""),"-",VLOOKUP(C25,'FERDİ SONUÇ'!$B$6:$H$819,7,0))</f>
        <v>-</v>
      </c>
      <c r="I25" s="38" t="str">
        <f>IF(ISERROR(SMALL(H21:H25,5)),"-",SMALL(H21:H25,5))</f>
        <v>-</v>
      </c>
      <c r="J25" s="32"/>
      <c r="AZ25" s="30">
        <v>1022</v>
      </c>
    </row>
    <row r="26" spans="1:52" ht="15" customHeight="1">
      <c r="A26" s="21"/>
      <c r="B26" s="23"/>
      <c r="C26" s="46"/>
      <c r="D26" s="25">
        <f>IF(ISERROR(VLOOKUP($C26,'START LİSTE'!$B$6:$G$1006,2,0)),"",VLOOKUP($C26,'START LİSTE'!$B$6:$G$1006,2,0))</f>
      </c>
      <c r="E26" s="26">
        <f>IF(ISERROR(VLOOKUP($C26,'START LİSTE'!$B$6:$G$1006,4,0)),"",VLOOKUP($C26,'START LİSTE'!$B$6:$G$1006,4,0))</f>
      </c>
      <c r="F26" s="130">
        <f>IF(ISERROR(VLOOKUP($C26,'FERDİ SONUÇ'!$B$6:$H$819,6,0)),"",VLOOKUP($C26,'FERDİ SONUÇ'!$B$6:$H$819,6,0))</f>
      </c>
      <c r="G26" s="26" t="str">
        <f>IF(OR(E26="",F26="DQ",F26="DNF",F26="DNS",F26=""),"-",VLOOKUP(C26,'FERDİ SONUÇ'!$B$6:$H$819,7,0))</f>
        <v>-</v>
      </c>
      <c r="H26" s="26" t="str">
        <f>IF(OR(E26="",E26="F",F26="DQ",F26="DNF",F26="DNS",F26=""),"-",VLOOKUP(C26,'FERDİ SONUÇ'!$B$6:$H$819,7,0))</f>
        <v>-</v>
      </c>
      <c r="I26" s="28" t="str">
        <f>IF(ISERROR(SMALL(H26:H30,1)),"-",SMALL(H26:H30,1))</f>
        <v>-</v>
      </c>
      <c r="J26" s="22"/>
      <c r="AZ26" s="30">
        <v>1024</v>
      </c>
    </row>
    <row r="27" spans="1:52" ht="15" customHeight="1">
      <c r="A27" s="31"/>
      <c r="B27" s="33"/>
      <c r="C27" s="34"/>
      <c r="D27" s="35">
        <f>IF(ISERROR(VLOOKUP($C27,'START LİSTE'!$B$6:$G$1006,2,0)),"",VLOOKUP($C27,'START LİSTE'!$B$6:$G$1006,2,0))</f>
      </c>
      <c r="E27" s="36">
        <f>IF(ISERROR(VLOOKUP($C27,'START LİSTE'!$B$6:$G$1006,4,0)),"",VLOOKUP($C27,'START LİSTE'!$B$6:$G$1006,4,0))</f>
      </c>
      <c r="F27" s="131">
        <f>IF(ISERROR(VLOOKUP($C27,'FERDİ SONUÇ'!$B$6:$H$819,6,0)),"",VLOOKUP($C27,'FERDİ SONUÇ'!$B$6:$H$819,6,0))</f>
      </c>
      <c r="G27" s="36" t="str">
        <f>IF(OR(E27="",F27="DQ",F27="DNF",F27="DNS",F27=""),"-",VLOOKUP(C27,'FERDİ SONUÇ'!$B$6:$H$819,7,0))</f>
        <v>-</v>
      </c>
      <c r="H27" s="36" t="str">
        <f>IF(OR(E27="",E27="F",F27="DQ",F27="DNF",F27="DNS",F27=""),"-",VLOOKUP(C27,'FERDİ SONUÇ'!$B$6:$H$819,7,0))</f>
        <v>-</v>
      </c>
      <c r="I27" s="38" t="str">
        <f>IF(ISERROR(SMALL(H26:H30,2)),"-",SMALL(H26:H30,2))</f>
        <v>-</v>
      </c>
      <c r="J27" s="32"/>
      <c r="AZ27" s="30">
        <v>1025</v>
      </c>
    </row>
    <row r="28" spans="1:52" ht="15" customHeight="1">
      <c r="A28" s="44">
        <f>IF(AND(B28&lt;&gt;"",J28&lt;&gt;"DQ"),COUNT(J$6:J$305)-(RANK(J28,J$6:J$305)+COUNTIF(J$6:J28,J28))+2,IF(C26&lt;&gt;"",AZ28,""))</f>
      </c>
      <c r="B28" s="33">
        <f>IF(ISERROR(VLOOKUP(C26,'START LİSTE'!$B$6:$G$1006,3,0)),"",VLOOKUP(C26,'START LİSTE'!$B$6:$G$1006,3,0))</f>
      </c>
      <c r="C28" s="34"/>
      <c r="D28" s="35">
        <f>IF(ISERROR(VLOOKUP($C28,'START LİSTE'!$B$6:$G$1006,2,0)),"",VLOOKUP($C28,'START LİSTE'!$B$6:$G$1006,2,0))</f>
      </c>
      <c r="E28" s="36">
        <f>IF(ISERROR(VLOOKUP($C28,'START LİSTE'!$B$6:$G$1006,4,0)),"",VLOOKUP($C28,'START LİSTE'!$B$6:$G$1006,4,0))</f>
      </c>
      <c r="F28" s="131">
        <f>IF(ISERROR(VLOOKUP($C28,'FERDİ SONUÇ'!$B$6:$H$819,6,0)),"",VLOOKUP($C28,'FERDİ SONUÇ'!$B$6:$H$819,6,0))</f>
      </c>
      <c r="G28" s="36" t="str">
        <f>IF(OR(E28="",F28="DQ",F28="DNF",F28="DNS",F28=""),"-",VLOOKUP(C28,'FERDİ SONUÇ'!$B$6:$H$819,7,0))</f>
        <v>-</v>
      </c>
      <c r="H28" s="36" t="str">
        <f>IF(OR(E28="",E28="F",F28="DQ",F28="DNF",F28="DNS",F28=""),"-",VLOOKUP(C28,'FERDİ SONUÇ'!$B$6:$H$819,7,0))</f>
        <v>-</v>
      </c>
      <c r="I28" s="38" t="str">
        <f>IF(ISERROR(SMALL(H26:H30,3)),"-",SMALL(H26:H30,3))</f>
        <v>-</v>
      </c>
      <c r="J28" s="43">
        <f>IF(C26="","",IF(OR(I26="-",I27="-",I28="-",I29="-"),"DQ",SUM(I26,I27,I28,I29)))</f>
      </c>
      <c r="AZ28" s="30">
        <v>1026</v>
      </c>
    </row>
    <row r="29" spans="1:52" ht="15" customHeight="1">
      <c r="A29" s="31"/>
      <c r="B29" s="33"/>
      <c r="C29" s="34"/>
      <c r="D29" s="35">
        <f>IF(ISERROR(VLOOKUP($C29,'START LİSTE'!$B$6:$G$1006,2,0)),"",VLOOKUP($C29,'START LİSTE'!$B$6:$G$1006,2,0))</f>
      </c>
      <c r="E29" s="36">
        <f>IF(ISERROR(VLOOKUP($C29,'START LİSTE'!$B$6:$G$1006,4,0)),"",VLOOKUP($C29,'START LİSTE'!$B$6:$G$1006,4,0))</f>
      </c>
      <c r="F29" s="131">
        <f>IF(ISERROR(VLOOKUP($C29,'FERDİ SONUÇ'!$B$6:$H$819,6,0)),"",VLOOKUP($C29,'FERDİ SONUÇ'!$B$6:$H$819,6,0))</f>
      </c>
      <c r="G29" s="36" t="str">
        <f>IF(OR(E29="",F29="DQ",F29="DNF",F29="DNS",F29=""),"-",VLOOKUP(C29,'FERDİ SONUÇ'!$B$6:$H$819,7,0))</f>
        <v>-</v>
      </c>
      <c r="H29" s="36" t="str">
        <f>IF(OR(E29="",E29="F",F29="DQ",F29="DNF",F29="DNS",F29=""),"-",VLOOKUP(C29,'FERDİ SONUÇ'!$B$6:$H$819,7,0))</f>
        <v>-</v>
      </c>
      <c r="I29" s="38" t="str">
        <f>IF(ISERROR(SMALL(H26:H30,4)),"-",SMALL(H26:H30,4))</f>
        <v>-</v>
      </c>
      <c r="J29" s="32"/>
      <c r="AZ29" s="30">
        <v>1027</v>
      </c>
    </row>
    <row r="30" spans="1:52" ht="15" customHeight="1">
      <c r="A30" s="31"/>
      <c r="B30" s="33"/>
      <c r="C30" s="47"/>
      <c r="D30" s="35">
        <f>IF(ISERROR(VLOOKUP($C30,'START LİSTE'!$B$6:$G$1006,2,0)),"",VLOOKUP($C30,'START LİSTE'!$B$6:$G$1006,2,0))</f>
      </c>
      <c r="E30" s="36">
        <f>IF(ISERROR(VLOOKUP($C30,'START LİSTE'!$B$6:$G$1006,4,0)),"",VLOOKUP($C30,'START LİSTE'!$B$6:$G$1006,4,0))</f>
      </c>
      <c r="F30" s="131">
        <f>IF(ISERROR(VLOOKUP($C30,'FERDİ SONUÇ'!$B$6:$H$819,6,0)),"",VLOOKUP($C30,'FERDİ SONUÇ'!$B$6:$H$819,6,0))</f>
      </c>
      <c r="G30" s="36" t="str">
        <f>IF(OR(E30="",F30="DQ",F30="DNF",F30="DNS",F30=""),"-",VLOOKUP(C30,'FERDİ SONUÇ'!$B$6:$H$819,7,0))</f>
        <v>-</v>
      </c>
      <c r="H30" s="36" t="str">
        <f>IF(OR(E30="",E30="F",F30="DQ",F30="DNF",F30="DNS",F30=""),"-",VLOOKUP(C30,'FERDİ SONUÇ'!$B$6:$H$819,7,0))</f>
        <v>-</v>
      </c>
      <c r="I30" s="38" t="str">
        <f>IF(ISERROR(SMALL(H26:H30,5)),"-",SMALL(H26:H30,5))</f>
        <v>-</v>
      </c>
      <c r="J30" s="32"/>
      <c r="AZ30" s="30">
        <v>1028</v>
      </c>
    </row>
    <row r="31" spans="1:52" ht="15" customHeight="1">
      <c r="A31" s="21"/>
      <c r="B31" s="23"/>
      <c r="C31" s="46"/>
      <c r="D31" s="25">
        <f>IF(ISERROR(VLOOKUP($C31,'START LİSTE'!$B$6:$G$1006,2,0)),"",VLOOKUP($C31,'START LİSTE'!$B$6:$G$1006,2,0))</f>
      </c>
      <c r="E31" s="26">
        <f>IF(ISERROR(VLOOKUP($C31,'START LİSTE'!$B$6:$G$1006,4,0)),"",VLOOKUP($C31,'START LİSTE'!$B$6:$G$1006,4,0))</f>
      </c>
      <c r="F31" s="130">
        <f>IF(ISERROR(VLOOKUP($C31,'FERDİ SONUÇ'!$B$6:$H$819,6,0)),"",VLOOKUP($C31,'FERDİ SONUÇ'!$B$6:$H$819,6,0))</f>
      </c>
      <c r="G31" s="26" t="str">
        <f>IF(OR(E31="",F31="DQ",F31="DNF",F31="DNS",F31=""),"-",VLOOKUP(C31,'FERDİ SONUÇ'!$B$6:$H$819,7,0))</f>
        <v>-</v>
      </c>
      <c r="H31" s="26" t="str">
        <f>IF(OR(E31="",E31="F",F31="DQ",F31="DNF",F31="DNS",F31=""),"-",VLOOKUP(C31,'FERDİ SONUÇ'!$B$6:$H$819,7,0))</f>
        <v>-</v>
      </c>
      <c r="I31" s="28" t="str">
        <f>IF(ISERROR(SMALL(H31:H35,1)),"-",SMALL(H31:H35,1))</f>
        <v>-</v>
      </c>
      <c r="J31" s="22"/>
      <c r="AZ31" s="30">
        <v>1030</v>
      </c>
    </row>
    <row r="32" spans="1:52" ht="15" customHeight="1">
      <c r="A32" s="31"/>
      <c r="B32" s="33"/>
      <c r="C32" s="34"/>
      <c r="D32" s="35">
        <f>IF(ISERROR(VLOOKUP($C32,'START LİSTE'!$B$6:$G$1006,2,0)),"",VLOOKUP($C32,'START LİSTE'!$B$6:$G$1006,2,0))</f>
      </c>
      <c r="E32" s="36">
        <f>IF(ISERROR(VLOOKUP($C32,'START LİSTE'!$B$6:$G$1006,4,0)),"",VLOOKUP($C32,'START LİSTE'!$B$6:$G$1006,4,0))</f>
      </c>
      <c r="F32" s="131">
        <f>IF(ISERROR(VLOOKUP($C32,'FERDİ SONUÇ'!$B$6:$H$819,6,0)),"",VLOOKUP($C32,'FERDİ SONUÇ'!$B$6:$H$819,6,0))</f>
      </c>
      <c r="G32" s="36" t="str">
        <f>IF(OR(E32="",F32="DQ",F32="DNF",F32="DNS",F32=""),"-",VLOOKUP(C32,'FERDİ SONUÇ'!$B$6:$H$819,7,0))</f>
        <v>-</v>
      </c>
      <c r="H32" s="36" t="str">
        <f>IF(OR(E32="",E32="F",F32="DQ",F32="DNF",F32="DNS",F32=""),"-",VLOOKUP(C32,'FERDİ SONUÇ'!$B$6:$H$819,7,0))</f>
        <v>-</v>
      </c>
      <c r="I32" s="38" t="str">
        <f>IF(ISERROR(SMALL(H31:H35,2)),"-",SMALL(H31:H35,2))</f>
        <v>-</v>
      </c>
      <c r="J32" s="32"/>
      <c r="AZ32" s="30">
        <v>1031</v>
      </c>
    </row>
    <row r="33" spans="1:52" ht="15" customHeight="1">
      <c r="A33" s="44">
        <f>IF(AND(B33&lt;&gt;"",J33&lt;&gt;"DQ"),COUNT(J$6:J$305)-(RANK(J33,J$6:J$305)+COUNTIF(J$6:J33,J33))+2,IF(C31&lt;&gt;"",AZ33,""))</f>
      </c>
      <c r="B33" s="33">
        <f>IF(ISERROR(VLOOKUP(C31,'START LİSTE'!$B$6:$G$1006,3,0)),"",VLOOKUP(C31,'START LİSTE'!$B$6:$G$1006,3,0))</f>
      </c>
      <c r="C33" s="34"/>
      <c r="D33" s="35">
        <f>IF(ISERROR(VLOOKUP($C33,'START LİSTE'!$B$6:$G$1006,2,0)),"",VLOOKUP($C33,'START LİSTE'!$B$6:$G$1006,2,0))</f>
      </c>
      <c r="E33" s="36">
        <f>IF(ISERROR(VLOOKUP($C33,'START LİSTE'!$B$6:$G$1006,4,0)),"",VLOOKUP($C33,'START LİSTE'!$B$6:$G$1006,4,0))</f>
      </c>
      <c r="F33" s="131">
        <f>IF(ISERROR(VLOOKUP($C33,'FERDİ SONUÇ'!$B$6:$H$819,6,0)),"",VLOOKUP($C33,'FERDİ SONUÇ'!$B$6:$H$819,6,0))</f>
      </c>
      <c r="G33" s="36" t="str">
        <f>IF(OR(E33="",F33="DQ",F33="DNF",F33="DNS",F33=""),"-",VLOOKUP(C33,'FERDİ SONUÇ'!$B$6:$H$819,7,0))</f>
        <v>-</v>
      </c>
      <c r="H33" s="36" t="str">
        <f>IF(OR(E33="",E33="F",F33="DQ",F33="DNF",F33="DNS",F33=""),"-",VLOOKUP(C33,'FERDİ SONUÇ'!$B$6:$H$819,7,0))</f>
        <v>-</v>
      </c>
      <c r="I33" s="38" t="str">
        <f>IF(ISERROR(SMALL(H31:H35,3)),"-",SMALL(H31:H35,3))</f>
        <v>-</v>
      </c>
      <c r="J33" s="43">
        <f>IF(C31="","",IF(OR(I31="-",I32="-",I33="-",I34="-"),"DQ",SUM(I31,I32,I33,I34)))</f>
      </c>
      <c r="AZ33" s="30">
        <v>1032</v>
      </c>
    </row>
    <row r="34" spans="1:52" ht="15" customHeight="1">
      <c r="A34" s="31"/>
      <c r="B34" s="33"/>
      <c r="C34" s="34"/>
      <c r="D34" s="35">
        <f>IF(ISERROR(VLOOKUP($C34,'START LİSTE'!$B$6:$G$1006,2,0)),"",VLOOKUP($C34,'START LİSTE'!$B$6:$G$1006,2,0))</f>
      </c>
      <c r="E34" s="36">
        <f>IF(ISERROR(VLOOKUP($C34,'START LİSTE'!$B$6:$G$1006,4,0)),"",VLOOKUP($C34,'START LİSTE'!$B$6:$G$1006,4,0))</f>
      </c>
      <c r="F34" s="131">
        <f>IF(ISERROR(VLOOKUP($C34,'FERDİ SONUÇ'!$B$6:$H$819,6,0)),"",VLOOKUP($C34,'FERDİ SONUÇ'!$B$6:$H$819,6,0))</f>
      </c>
      <c r="G34" s="36" t="str">
        <f>IF(OR(E34="",F34="DQ",F34="DNF",F34="DNS",F34=""),"-",VLOOKUP(C34,'FERDİ SONUÇ'!$B$6:$H$819,7,0))</f>
        <v>-</v>
      </c>
      <c r="H34" s="36" t="str">
        <f>IF(OR(E34="",E34="F",F34="DQ",F34="DNF",F34="DNS",F34=""),"-",VLOOKUP(C34,'FERDİ SONUÇ'!$B$6:$H$819,7,0))</f>
        <v>-</v>
      </c>
      <c r="I34" s="38" t="str">
        <f>IF(ISERROR(SMALL(H31:H35,4)),"-",SMALL(H31:H35,4))</f>
        <v>-</v>
      </c>
      <c r="J34" s="32"/>
      <c r="AZ34" s="30">
        <v>1033</v>
      </c>
    </row>
    <row r="35" spans="1:52" ht="15" customHeight="1">
      <c r="A35" s="31"/>
      <c r="B35" s="33"/>
      <c r="C35" s="47"/>
      <c r="D35" s="35">
        <f>IF(ISERROR(VLOOKUP($C35,'START LİSTE'!$B$6:$G$1006,2,0)),"",VLOOKUP($C35,'START LİSTE'!$B$6:$G$1006,2,0))</f>
      </c>
      <c r="E35" s="36">
        <f>IF(ISERROR(VLOOKUP($C35,'START LİSTE'!$B$6:$G$1006,4,0)),"",VLOOKUP($C35,'START LİSTE'!$B$6:$G$1006,4,0))</f>
      </c>
      <c r="F35" s="131">
        <f>IF(ISERROR(VLOOKUP($C35,'FERDİ SONUÇ'!$B$6:$H$819,6,0)),"",VLOOKUP($C35,'FERDİ SONUÇ'!$B$6:$H$819,6,0))</f>
      </c>
      <c r="G35" s="36" t="str">
        <f>IF(OR(E35="",F35="DQ",F35="DNF",F35="DNS",F35=""),"-",VLOOKUP(C35,'FERDİ SONUÇ'!$B$6:$H$819,7,0))</f>
        <v>-</v>
      </c>
      <c r="H35" s="36" t="str">
        <f>IF(OR(E35="",E35="F",F35="DQ",F35="DNF",F35="DNS",F35=""),"-",VLOOKUP(C35,'FERDİ SONUÇ'!$B$6:$H$819,7,0))</f>
        <v>-</v>
      </c>
      <c r="I35" s="38" t="str">
        <f>IF(ISERROR(SMALL(H31:H35,5)),"-",SMALL(H31:H35,5))</f>
        <v>-</v>
      </c>
      <c r="J35" s="32"/>
      <c r="AZ35" s="30">
        <v>1034</v>
      </c>
    </row>
    <row r="36" spans="1:52" ht="15" customHeight="1">
      <c r="A36" s="21"/>
      <c r="B36" s="23"/>
      <c r="C36" s="46"/>
      <c r="D36" s="25">
        <f>IF(ISERROR(VLOOKUP($C36,'START LİSTE'!$B$6:$G$1006,2,0)),"",VLOOKUP($C36,'START LİSTE'!$B$6:$G$1006,2,0))</f>
      </c>
      <c r="E36" s="26">
        <f>IF(ISERROR(VLOOKUP($C36,'START LİSTE'!$B$6:$G$1006,4,0)),"",VLOOKUP($C36,'START LİSTE'!$B$6:$G$1006,4,0))</f>
      </c>
      <c r="F36" s="130">
        <f>IF(ISERROR(VLOOKUP($C36,'FERDİ SONUÇ'!$B$6:$H$819,6,0)),"",VLOOKUP($C36,'FERDİ SONUÇ'!$B$6:$H$819,6,0))</f>
      </c>
      <c r="G36" s="26" t="str">
        <f>IF(OR(E36="",F36="DQ",F36="DNF",F36="DNS",F36=""),"-",VLOOKUP(C36,'FERDİ SONUÇ'!$B$6:$H$819,7,0))</f>
        <v>-</v>
      </c>
      <c r="H36" s="26" t="str">
        <f>IF(OR(E36="",E36="F",F36="DQ",F36="DNF",F36="DNS",F36=""),"-",VLOOKUP(C36,'FERDİ SONUÇ'!$B$6:$H$819,7,0))</f>
        <v>-</v>
      </c>
      <c r="I36" s="28" t="str">
        <f>IF(ISERROR(SMALL(H36:H40,1)),"-",SMALL(H36:H40,1))</f>
        <v>-</v>
      </c>
      <c r="J36" s="22"/>
      <c r="AZ36" s="30">
        <v>1036</v>
      </c>
    </row>
    <row r="37" spans="1:52" ht="15" customHeight="1">
      <c r="A37" s="31"/>
      <c r="B37" s="33"/>
      <c r="C37" s="34"/>
      <c r="D37" s="35">
        <f>IF(ISERROR(VLOOKUP($C37,'START LİSTE'!$B$6:$G$1006,2,0)),"",VLOOKUP($C37,'START LİSTE'!$B$6:$G$1006,2,0))</f>
      </c>
      <c r="E37" s="36">
        <f>IF(ISERROR(VLOOKUP($C37,'START LİSTE'!$B$6:$G$1006,4,0)),"",VLOOKUP($C37,'START LİSTE'!$B$6:$G$1006,4,0))</f>
      </c>
      <c r="F37" s="131">
        <f>IF(ISERROR(VLOOKUP($C37,'FERDİ SONUÇ'!$B$6:$H$819,6,0)),"",VLOOKUP($C37,'FERDİ SONUÇ'!$B$6:$H$819,6,0))</f>
      </c>
      <c r="G37" s="36" t="str">
        <f>IF(OR(E37="",F37="DQ",F37="DNF",F37="DNS",F37=""),"-",VLOOKUP(C37,'FERDİ SONUÇ'!$B$6:$H$819,7,0))</f>
        <v>-</v>
      </c>
      <c r="H37" s="36" t="str">
        <f>IF(OR(E37="",E37="F",F37="DQ",F37="DNF",F37="DNS",F37=""),"-",VLOOKUP(C37,'FERDİ SONUÇ'!$B$6:$H$819,7,0))</f>
        <v>-</v>
      </c>
      <c r="I37" s="38" t="str">
        <f>IF(ISERROR(SMALL(H36:H40,2)),"-",SMALL(H36:H40,2))</f>
        <v>-</v>
      </c>
      <c r="J37" s="32"/>
      <c r="AZ37" s="30">
        <v>1037</v>
      </c>
    </row>
    <row r="38" spans="1:52" ht="15" customHeight="1">
      <c r="A38" s="44">
        <f>IF(AND(B38&lt;&gt;"",J38&lt;&gt;"DQ"),COUNT(J$6:J$305)-(RANK(J38,J$6:J$305)+COUNTIF(J$6:J38,J38))+2,IF(C36&lt;&gt;"",AZ38,""))</f>
      </c>
      <c r="B38" s="33">
        <f>IF(ISERROR(VLOOKUP(C36,'START LİSTE'!$B$6:$G$1006,3,0)),"",VLOOKUP(C36,'START LİSTE'!$B$6:$G$1006,3,0))</f>
      </c>
      <c r="C38" s="34"/>
      <c r="D38" s="35">
        <f>IF(ISERROR(VLOOKUP($C38,'START LİSTE'!$B$6:$G$1006,2,0)),"",VLOOKUP($C38,'START LİSTE'!$B$6:$G$1006,2,0))</f>
      </c>
      <c r="E38" s="36">
        <f>IF(ISERROR(VLOOKUP($C38,'START LİSTE'!$B$6:$G$1006,4,0)),"",VLOOKUP($C38,'START LİSTE'!$B$6:$G$1006,4,0))</f>
      </c>
      <c r="F38" s="131">
        <f>IF(ISERROR(VLOOKUP($C38,'FERDİ SONUÇ'!$B$6:$H$819,6,0)),"",VLOOKUP($C38,'FERDİ SONUÇ'!$B$6:$H$819,6,0))</f>
      </c>
      <c r="G38" s="36" t="str">
        <f>IF(OR(E38="",F38="DQ",F38="DNF",F38="DNS",F38=""),"-",VLOOKUP(C38,'FERDİ SONUÇ'!$B$6:$H$819,7,0))</f>
        <v>-</v>
      </c>
      <c r="H38" s="36" t="str">
        <f>IF(OR(E38="",E38="F",F38="DQ",F38="DNF",F38="DNS",F38=""),"-",VLOOKUP(C38,'FERDİ SONUÇ'!$B$6:$H$819,7,0))</f>
        <v>-</v>
      </c>
      <c r="I38" s="38" t="str">
        <f>IF(ISERROR(SMALL(H36:H40,3)),"-",SMALL(H36:H40,3))</f>
        <v>-</v>
      </c>
      <c r="J38" s="43">
        <f>IF(C36="","",IF(OR(I36="-",I37="-",I38="-",I39="-"),"DQ",SUM(I36,I37,I38,I39)))</f>
      </c>
      <c r="AZ38" s="30">
        <v>1038</v>
      </c>
    </row>
    <row r="39" spans="1:52" ht="15" customHeight="1">
      <c r="A39" s="31"/>
      <c r="B39" s="33"/>
      <c r="C39" s="34"/>
      <c r="D39" s="35">
        <f>IF(ISERROR(VLOOKUP($C39,'START LİSTE'!$B$6:$G$1006,2,0)),"",VLOOKUP($C39,'START LİSTE'!$B$6:$G$1006,2,0))</f>
      </c>
      <c r="E39" s="36">
        <f>IF(ISERROR(VLOOKUP($C39,'START LİSTE'!$B$6:$G$1006,4,0)),"",VLOOKUP($C39,'START LİSTE'!$B$6:$G$1006,4,0))</f>
      </c>
      <c r="F39" s="131">
        <f>IF(ISERROR(VLOOKUP($C39,'FERDİ SONUÇ'!$B$6:$H$819,6,0)),"",VLOOKUP($C39,'FERDİ SONUÇ'!$B$6:$H$819,6,0))</f>
      </c>
      <c r="G39" s="36" t="str">
        <f>IF(OR(E39="",F39="DQ",F39="DNF",F39="DNS",F39=""),"-",VLOOKUP(C39,'FERDİ SONUÇ'!$B$6:$H$819,7,0))</f>
        <v>-</v>
      </c>
      <c r="H39" s="36" t="str">
        <f>IF(OR(E39="",E39="F",F39="DQ",F39="DNF",F39="DNS",F39=""),"-",VLOOKUP(C39,'FERDİ SONUÇ'!$B$6:$H$819,7,0))</f>
        <v>-</v>
      </c>
      <c r="I39" s="38" t="str">
        <f>IF(ISERROR(SMALL(H36:H40,4)),"-",SMALL(H36:H40,4))</f>
        <v>-</v>
      </c>
      <c r="J39" s="32"/>
      <c r="AZ39" s="30">
        <v>1039</v>
      </c>
    </row>
    <row r="40" spans="1:52" ht="15" customHeight="1">
      <c r="A40" s="31"/>
      <c r="B40" s="33"/>
      <c r="C40" s="47"/>
      <c r="D40" s="35">
        <f>IF(ISERROR(VLOOKUP($C40,'START LİSTE'!$B$6:$G$1006,2,0)),"",VLOOKUP($C40,'START LİSTE'!$B$6:$G$1006,2,0))</f>
      </c>
      <c r="E40" s="36">
        <f>IF(ISERROR(VLOOKUP($C40,'START LİSTE'!$B$6:$G$1006,4,0)),"",VLOOKUP($C40,'START LİSTE'!$B$6:$G$1006,4,0))</f>
      </c>
      <c r="F40" s="131">
        <f>IF(ISERROR(VLOOKUP($C40,'FERDİ SONUÇ'!$B$6:$H$819,6,0)),"",VLOOKUP($C40,'FERDİ SONUÇ'!$B$6:$H$819,6,0))</f>
      </c>
      <c r="G40" s="36" t="str">
        <f>IF(OR(E40="",F40="DQ",F40="DNF",F40="DNS",F40=""),"-",VLOOKUP(C40,'FERDİ SONUÇ'!$B$6:$H$819,7,0))</f>
        <v>-</v>
      </c>
      <c r="H40" s="36" t="str">
        <f>IF(OR(E40="",E40="F",F40="DQ",F40="DNF",F40="DNS",F40=""),"-",VLOOKUP(C40,'FERDİ SONUÇ'!$B$6:$H$819,7,0))</f>
        <v>-</v>
      </c>
      <c r="I40" s="38" t="str">
        <f>IF(ISERROR(SMALL(H36:H40,5)),"-",SMALL(H36:H40,5))</f>
        <v>-</v>
      </c>
      <c r="J40" s="32"/>
      <c r="AZ40" s="30">
        <v>1040</v>
      </c>
    </row>
    <row r="41" spans="1:52" ht="15" customHeight="1">
      <c r="A41" s="21"/>
      <c r="B41" s="23"/>
      <c r="C41" s="46"/>
      <c r="D41" s="25">
        <f>IF(ISERROR(VLOOKUP($C41,'START LİSTE'!$B$6:$G$1006,2,0)),"",VLOOKUP($C41,'START LİSTE'!$B$6:$G$1006,2,0))</f>
      </c>
      <c r="E41" s="26">
        <f>IF(ISERROR(VLOOKUP($C41,'START LİSTE'!$B$6:$G$1006,4,0)),"",VLOOKUP($C41,'START LİSTE'!$B$6:$G$1006,4,0))</f>
      </c>
      <c r="F41" s="130">
        <f>IF(ISERROR(VLOOKUP($C41,'FERDİ SONUÇ'!$B$6:$H$819,6,0)),"",VLOOKUP($C41,'FERDİ SONUÇ'!$B$6:$H$819,6,0))</f>
      </c>
      <c r="G41" s="26" t="str">
        <f>IF(OR(E41="",F41="DQ",F41="DNF",F41="DNS",F41=""),"-",VLOOKUP(C41,'FERDİ SONUÇ'!$B$6:$H$819,7,0))</f>
        <v>-</v>
      </c>
      <c r="H41" s="26" t="str">
        <f>IF(OR(E41="",E41="F",F41="DQ",F41="DNF",F41="DNS",F41=""),"-",VLOOKUP(C41,'FERDİ SONUÇ'!$B$6:$H$819,7,0))</f>
        <v>-</v>
      </c>
      <c r="I41" s="28" t="str">
        <f>IF(ISERROR(SMALL(H41:H45,1)),"-",SMALL(H41:H45,1))</f>
        <v>-</v>
      </c>
      <c r="J41" s="22"/>
      <c r="AZ41" s="30">
        <v>1042</v>
      </c>
    </row>
    <row r="42" spans="1:52" ht="15" customHeight="1">
      <c r="A42" s="31"/>
      <c r="B42" s="33"/>
      <c r="C42" s="34"/>
      <c r="D42" s="35">
        <f>IF(ISERROR(VLOOKUP($C42,'START LİSTE'!$B$6:$G$1006,2,0)),"",VLOOKUP($C42,'START LİSTE'!$B$6:$G$1006,2,0))</f>
      </c>
      <c r="E42" s="36">
        <f>IF(ISERROR(VLOOKUP($C42,'START LİSTE'!$B$6:$G$1006,4,0)),"",VLOOKUP($C42,'START LİSTE'!$B$6:$G$1006,4,0))</f>
      </c>
      <c r="F42" s="131">
        <f>IF(ISERROR(VLOOKUP($C42,'FERDİ SONUÇ'!$B$6:$H$819,6,0)),"",VLOOKUP($C42,'FERDİ SONUÇ'!$B$6:$H$819,6,0))</f>
      </c>
      <c r="G42" s="36" t="str">
        <f>IF(OR(E42="",F42="DQ",F42="DNF",F42="DNS",F42=""),"-",VLOOKUP(C42,'FERDİ SONUÇ'!$B$6:$H$819,7,0))</f>
        <v>-</v>
      </c>
      <c r="H42" s="36" t="str">
        <f>IF(OR(E42="",E42="F",F42="DQ",F42="DNF",F42="DNS",F42=""),"-",VLOOKUP(C42,'FERDİ SONUÇ'!$B$6:$H$819,7,0))</f>
        <v>-</v>
      </c>
      <c r="I42" s="38" t="str">
        <f>IF(ISERROR(SMALL(H41:H45,2)),"-",SMALL(H41:H45,2))</f>
        <v>-</v>
      </c>
      <c r="J42" s="32"/>
      <c r="AZ42" s="30">
        <v>1043</v>
      </c>
    </row>
    <row r="43" spans="1:52" ht="15" customHeight="1">
      <c r="A43" s="44">
        <f>IF(AND(B43&lt;&gt;"",J43&lt;&gt;"DQ"),COUNT(J$6:J$305)-(RANK(J43,J$6:J$305)+COUNTIF(J$6:J43,J43))+2,IF(C41&lt;&gt;"",AZ43,""))</f>
      </c>
      <c r="B43" s="33">
        <f>IF(ISERROR(VLOOKUP(C41,'START LİSTE'!$B$6:$G$1006,3,0)),"",VLOOKUP(C41,'START LİSTE'!$B$6:$G$1006,3,0))</f>
      </c>
      <c r="C43" s="34"/>
      <c r="D43" s="35">
        <f>IF(ISERROR(VLOOKUP($C43,'START LİSTE'!$B$6:$G$1006,2,0)),"",VLOOKUP($C43,'START LİSTE'!$B$6:$G$1006,2,0))</f>
      </c>
      <c r="E43" s="36">
        <f>IF(ISERROR(VLOOKUP($C43,'START LİSTE'!$B$6:$G$1006,4,0)),"",VLOOKUP($C43,'START LİSTE'!$B$6:$G$1006,4,0))</f>
      </c>
      <c r="F43" s="131">
        <f>IF(ISERROR(VLOOKUP($C43,'FERDİ SONUÇ'!$B$6:$H$819,6,0)),"",VLOOKUP($C43,'FERDİ SONUÇ'!$B$6:$H$819,6,0))</f>
      </c>
      <c r="G43" s="36" t="str">
        <f>IF(OR(E43="",F43="DQ",F43="DNF",F43="DNS",F43=""),"-",VLOOKUP(C43,'FERDİ SONUÇ'!$B$6:$H$819,7,0))</f>
        <v>-</v>
      </c>
      <c r="H43" s="36" t="str">
        <f>IF(OR(E43="",E43="F",F43="DQ",F43="DNF",F43="DNS",F43=""),"-",VLOOKUP(C43,'FERDİ SONUÇ'!$B$6:$H$819,7,0))</f>
        <v>-</v>
      </c>
      <c r="I43" s="38" t="str">
        <f>IF(ISERROR(SMALL(H41:H45,3)),"-",SMALL(H41:H45,3))</f>
        <v>-</v>
      </c>
      <c r="J43" s="43">
        <f>IF(C41="","",IF(OR(I41="-",I42="-",I43="-",I44="-"),"DQ",SUM(I41,I42,I43,I44)))</f>
      </c>
      <c r="AZ43" s="30">
        <v>1044</v>
      </c>
    </row>
    <row r="44" spans="1:52" ht="15" customHeight="1">
      <c r="A44" s="31"/>
      <c r="B44" s="33"/>
      <c r="C44" s="34"/>
      <c r="D44" s="35">
        <f>IF(ISERROR(VLOOKUP($C44,'START LİSTE'!$B$6:$G$1006,2,0)),"",VLOOKUP($C44,'START LİSTE'!$B$6:$G$1006,2,0))</f>
      </c>
      <c r="E44" s="36">
        <f>IF(ISERROR(VLOOKUP($C44,'START LİSTE'!$B$6:$G$1006,4,0)),"",VLOOKUP($C44,'START LİSTE'!$B$6:$G$1006,4,0))</f>
      </c>
      <c r="F44" s="131">
        <f>IF(ISERROR(VLOOKUP($C44,'FERDİ SONUÇ'!$B$6:$H$819,6,0)),"",VLOOKUP($C44,'FERDİ SONUÇ'!$B$6:$H$819,6,0))</f>
      </c>
      <c r="G44" s="36" t="str">
        <f>IF(OR(E44="",F44="DQ",F44="DNF",F44="DNS",F44=""),"-",VLOOKUP(C44,'FERDİ SONUÇ'!$B$6:$H$819,7,0))</f>
        <v>-</v>
      </c>
      <c r="H44" s="36" t="str">
        <f>IF(OR(E44="",E44="F",F44="DQ",F44="DNF",F44="DNS",F44=""),"-",VLOOKUP(C44,'FERDİ SONUÇ'!$B$6:$H$819,7,0))</f>
        <v>-</v>
      </c>
      <c r="I44" s="38" t="str">
        <f>IF(ISERROR(SMALL(H41:H45,4)),"-",SMALL(H41:H45,4))</f>
        <v>-</v>
      </c>
      <c r="J44" s="32"/>
      <c r="AZ44" s="30">
        <v>1045</v>
      </c>
    </row>
    <row r="45" spans="1:52" ht="15" customHeight="1">
      <c r="A45" s="31"/>
      <c r="B45" s="33"/>
      <c r="C45" s="47"/>
      <c r="D45" s="35">
        <f>IF(ISERROR(VLOOKUP($C45,'START LİSTE'!$B$6:$G$1006,2,0)),"",VLOOKUP($C45,'START LİSTE'!$B$6:$G$1006,2,0))</f>
      </c>
      <c r="E45" s="36">
        <f>IF(ISERROR(VLOOKUP($C45,'START LİSTE'!$B$6:$G$1006,4,0)),"",VLOOKUP($C45,'START LİSTE'!$B$6:$G$1006,4,0))</f>
      </c>
      <c r="F45" s="131">
        <f>IF(ISERROR(VLOOKUP($C45,'FERDİ SONUÇ'!$B$6:$H$819,6,0)),"",VLOOKUP($C45,'FERDİ SONUÇ'!$B$6:$H$819,6,0))</f>
      </c>
      <c r="G45" s="36" t="str">
        <f>IF(OR(E45="",F45="DQ",F45="DNF",F45="DNS",F45=""),"-",VLOOKUP(C45,'FERDİ SONUÇ'!$B$6:$H$819,7,0))</f>
        <v>-</v>
      </c>
      <c r="H45" s="36" t="str">
        <f>IF(OR(E45="",E45="F",F45="DQ",F45="DNF",F45="DNS",F45=""),"-",VLOOKUP(C45,'FERDİ SONUÇ'!$B$6:$H$819,7,0))</f>
        <v>-</v>
      </c>
      <c r="I45" s="38" t="str">
        <f>IF(ISERROR(SMALL(H41:H45,5)),"-",SMALL(H41:H45,5))</f>
        <v>-</v>
      </c>
      <c r="J45" s="32"/>
      <c r="AZ45" s="30">
        <v>1046</v>
      </c>
    </row>
    <row r="46" spans="1:52" ht="15" customHeight="1">
      <c r="A46" s="21"/>
      <c r="B46" s="23"/>
      <c r="C46" s="46"/>
      <c r="D46" s="25">
        <f>IF(ISERROR(VLOOKUP($C46,'START LİSTE'!$B$6:$G$1006,2,0)),"",VLOOKUP($C46,'START LİSTE'!$B$6:$G$1006,2,0))</f>
      </c>
      <c r="E46" s="26">
        <f>IF(ISERROR(VLOOKUP($C46,'START LİSTE'!$B$6:$G$1006,4,0)),"",VLOOKUP($C46,'START LİSTE'!$B$6:$G$1006,4,0))</f>
      </c>
      <c r="F46" s="130">
        <f>IF(ISERROR(VLOOKUP($C46,'FERDİ SONUÇ'!$B$6:$H$819,6,0)),"",VLOOKUP($C46,'FERDİ SONUÇ'!$B$6:$H$819,6,0))</f>
      </c>
      <c r="G46" s="26" t="str">
        <f>IF(OR(E46="",F46="DQ",F46="DNF",F46="DNS",F46=""),"-",VLOOKUP(C46,'FERDİ SONUÇ'!$B$6:$H$819,7,0))</f>
        <v>-</v>
      </c>
      <c r="H46" s="26" t="str">
        <f>IF(OR(E46="",E46="F",F46="DQ",F46="DNF",F46="DNS",F46=""),"-",VLOOKUP(C46,'FERDİ SONUÇ'!$B$6:$H$819,7,0))</f>
        <v>-</v>
      </c>
      <c r="I46" s="28" t="str">
        <f>IF(ISERROR(SMALL(H46:H50,1)),"-",SMALL(H46:H50,1))</f>
        <v>-</v>
      </c>
      <c r="J46" s="22"/>
      <c r="AZ46" s="30">
        <v>1048</v>
      </c>
    </row>
    <row r="47" spans="1:52" ht="15" customHeight="1">
      <c r="A47" s="31"/>
      <c r="B47" s="33"/>
      <c r="C47" s="34"/>
      <c r="D47" s="35">
        <f>IF(ISERROR(VLOOKUP($C47,'START LİSTE'!$B$6:$G$1006,2,0)),"",VLOOKUP($C47,'START LİSTE'!$B$6:$G$1006,2,0))</f>
      </c>
      <c r="E47" s="36">
        <f>IF(ISERROR(VLOOKUP($C47,'START LİSTE'!$B$6:$G$1006,4,0)),"",VLOOKUP($C47,'START LİSTE'!$B$6:$G$1006,4,0))</f>
      </c>
      <c r="F47" s="131">
        <f>IF(ISERROR(VLOOKUP($C47,'FERDİ SONUÇ'!$B$6:$H$819,6,0)),"",VLOOKUP($C47,'FERDİ SONUÇ'!$B$6:$H$819,6,0))</f>
      </c>
      <c r="G47" s="36" t="str">
        <f>IF(OR(E47="",F47="DQ",F47="DNF",F47="DNS",F47=""),"-",VLOOKUP(C47,'FERDİ SONUÇ'!$B$6:$H$819,7,0))</f>
        <v>-</v>
      </c>
      <c r="H47" s="36" t="str">
        <f>IF(OR(E47="",E47="F",F47="DQ",F47="DNF",F47="DNS",F47=""),"-",VLOOKUP(C47,'FERDİ SONUÇ'!$B$6:$H$819,7,0))</f>
        <v>-</v>
      </c>
      <c r="I47" s="38" t="str">
        <f>IF(ISERROR(SMALL(H46:H50,2)),"-",SMALL(H46:H50,2))</f>
        <v>-</v>
      </c>
      <c r="J47" s="32"/>
      <c r="AZ47" s="30">
        <v>1049</v>
      </c>
    </row>
    <row r="48" spans="1:52" ht="15" customHeight="1">
      <c r="A48" s="44">
        <f>IF(AND(B48&lt;&gt;"",J48&lt;&gt;"DQ"),COUNT(J$6:J$305)-(RANK(J48,J$6:J$305)+COUNTIF(J$6:J48,J48))+2,IF(C46&lt;&gt;"",AZ48,""))</f>
      </c>
      <c r="B48" s="33">
        <f>IF(ISERROR(VLOOKUP(C46,'START LİSTE'!$B$6:$G$1006,3,0)),"",VLOOKUP(C46,'START LİSTE'!$B$6:$G$1006,3,0))</f>
      </c>
      <c r="C48" s="34"/>
      <c r="D48" s="35">
        <f>IF(ISERROR(VLOOKUP($C48,'START LİSTE'!$B$6:$G$1006,2,0)),"",VLOOKUP($C48,'START LİSTE'!$B$6:$G$1006,2,0))</f>
      </c>
      <c r="E48" s="36">
        <f>IF(ISERROR(VLOOKUP($C48,'START LİSTE'!$B$6:$G$1006,4,0)),"",VLOOKUP($C48,'START LİSTE'!$B$6:$G$1006,4,0))</f>
      </c>
      <c r="F48" s="131">
        <f>IF(ISERROR(VLOOKUP($C48,'FERDİ SONUÇ'!$B$6:$H$819,6,0)),"",VLOOKUP($C48,'FERDİ SONUÇ'!$B$6:$H$819,6,0))</f>
      </c>
      <c r="G48" s="36" t="str">
        <f>IF(OR(E48="",F48="DQ",F48="DNF",F48="DNS",F48=""),"-",VLOOKUP(C48,'FERDİ SONUÇ'!$B$6:$H$819,7,0))</f>
        <v>-</v>
      </c>
      <c r="H48" s="36" t="str">
        <f>IF(OR(E48="",E48="F",F48="DQ",F48="DNF",F48="DNS",F48=""),"-",VLOOKUP(C48,'FERDİ SONUÇ'!$B$6:$H$819,7,0))</f>
        <v>-</v>
      </c>
      <c r="I48" s="38" t="str">
        <f>IF(ISERROR(SMALL(H46:H50,3)),"-",SMALL(H46:H50,3))</f>
        <v>-</v>
      </c>
      <c r="J48" s="43">
        <f>IF(C46="","",IF(OR(I46="-",I47="-",I48="-",I49="-"),"DQ",SUM(I46,I47,I48,I49)))</f>
      </c>
      <c r="AZ48" s="30">
        <v>1050</v>
      </c>
    </row>
    <row r="49" spans="1:52" ht="15" customHeight="1">
      <c r="A49" s="31"/>
      <c r="B49" s="33"/>
      <c r="C49" s="34"/>
      <c r="D49" s="35">
        <f>IF(ISERROR(VLOOKUP($C49,'START LİSTE'!$B$6:$G$1006,2,0)),"",VLOOKUP($C49,'START LİSTE'!$B$6:$G$1006,2,0))</f>
      </c>
      <c r="E49" s="36">
        <f>IF(ISERROR(VLOOKUP($C49,'START LİSTE'!$B$6:$G$1006,4,0)),"",VLOOKUP($C49,'START LİSTE'!$B$6:$G$1006,4,0))</f>
      </c>
      <c r="F49" s="131">
        <f>IF(ISERROR(VLOOKUP($C49,'FERDİ SONUÇ'!$B$6:$H$819,6,0)),"",VLOOKUP($C49,'FERDİ SONUÇ'!$B$6:$H$819,6,0))</f>
      </c>
      <c r="G49" s="36" t="str">
        <f>IF(OR(E49="",F49="DQ",F49="DNF",F49="DNS",F49=""),"-",VLOOKUP(C49,'FERDİ SONUÇ'!$B$6:$H$819,7,0))</f>
        <v>-</v>
      </c>
      <c r="H49" s="36" t="str">
        <f>IF(OR(E49="",E49="F",F49="DQ",F49="DNF",F49="DNS",F49=""),"-",VLOOKUP(C49,'FERDİ SONUÇ'!$B$6:$H$819,7,0))</f>
        <v>-</v>
      </c>
      <c r="I49" s="38" t="str">
        <f>IF(ISERROR(SMALL(H46:H50,4)),"-",SMALL(H46:H50,4))</f>
        <v>-</v>
      </c>
      <c r="J49" s="32"/>
      <c r="AZ49" s="30">
        <v>1051</v>
      </c>
    </row>
    <row r="50" spans="1:52" ht="15" customHeight="1">
      <c r="A50" s="31"/>
      <c r="B50" s="33"/>
      <c r="C50" s="47"/>
      <c r="D50" s="35">
        <f>IF(ISERROR(VLOOKUP($C50,'START LİSTE'!$B$6:$G$1006,2,0)),"",VLOOKUP($C50,'START LİSTE'!$B$6:$G$1006,2,0))</f>
      </c>
      <c r="E50" s="36">
        <f>IF(ISERROR(VLOOKUP($C50,'START LİSTE'!$B$6:$G$1006,4,0)),"",VLOOKUP($C50,'START LİSTE'!$B$6:$G$1006,4,0))</f>
      </c>
      <c r="F50" s="131">
        <f>IF(ISERROR(VLOOKUP($C50,'FERDİ SONUÇ'!$B$6:$H$819,6,0)),"",VLOOKUP($C50,'FERDİ SONUÇ'!$B$6:$H$819,6,0))</f>
      </c>
      <c r="G50" s="36" t="str">
        <f>IF(OR(E50="",F50="DQ",F50="DNF",F50="DNS",F50=""),"-",VLOOKUP(C50,'FERDİ SONUÇ'!$B$6:$H$819,7,0))</f>
        <v>-</v>
      </c>
      <c r="H50" s="36" t="str">
        <f>IF(OR(E50="",E50="F",F50="DQ",F50="DNF",F50="DNS",F50=""),"-",VLOOKUP(C50,'FERDİ SONUÇ'!$B$6:$H$819,7,0))</f>
        <v>-</v>
      </c>
      <c r="I50" s="38" t="str">
        <f>IF(ISERROR(SMALL(H46:H50,5)),"-",SMALL(H46:H50,5))</f>
        <v>-</v>
      </c>
      <c r="J50" s="32"/>
      <c r="AZ50" s="30">
        <v>1052</v>
      </c>
    </row>
    <row r="51" spans="1:52" ht="15" customHeight="1">
      <c r="A51" s="21"/>
      <c r="B51" s="23"/>
      <c r="C51" s="46"/>
      <c r="D51" s="25">
        <f>IF(ISERROR(VLOOKUP($C51,'START LİSTE'!$B$6:$G$1006,2,0)),"",VLOOKUP($C51,'START LİSTE'!$B$6:$G$1006,2,0))</f>
      </c>
      <c r="E51" s="26">
        <f>IF(ISERROR(VLOOKUP($C51,'START LİSTE'!$B$6:$G$1006,4,0)),"",VLOOKUP($C51,'START LİSTE'!$B$6:$G$1006,4,0))</f>
      </c>
      <c r="F51" s="130">
        <f>IF(ISERROR(VLOOKUP($C51,'FERDİ SONUÇ'!$B$6:$H$819,6,0)),"",VLOOKUP($C51,'FERDİ SONUÇ'!$B$6:$H$819,6,0))</f>
      </c>
      <c r="G51" s="26" t="str">
        <f>IF(OR(E51="",F51="DQ",F51="DNF",F51="DNS",F51=""),"-",VLOOKUP(C51,'FERDİ SONUÇ'!$B$6:$H$819,7,0))</f>
        <v>-</v>
      </c>
      <c r="H51" s="26" t="str">
        <f>IF(OR(E51="",E51="F",F51="DQ",F51="DNF",F51="DNS",F51=""),"-",VLOOKUP(C51,'FERDİ SONUÇ'!$B$6:$H$819,7,0))</f>
        <v>-</v>
      </c>
      <c r="I51" s="28" t="str">
        <f>IF(ISERROR(SMALL(H51:H55,1)),"-",SMALL(H51:H55,1))</f>
        <v>-</v>
      </c>
      <c r="J51" s="22"/>
      <c r="AZ51" s="30">
        <v>1054</v>
      </c>
    </row>
    <row r="52" spans="1:52" ht="15" customHeight="1">
      <c r="A52" s="31"/>
      <c r="B52" s="33"/>
      <c r="C52" s="34"/>
      <c r="D52" s="35">
        <f>IF(ISERROR(VLOOKUP($C52,'START LİSTE'!$B$6:$G$1006,2,0)),"",VLOOKUP($C52,'START LİSTE'!$B$6:$G$1006,2,0))</f>
      </c>
      <c r="E52" s="36">
        <f>IF(ISERROR(VLOOKUP($C52,'START LİSTE'!$B$6:$G$1006,4,0)),"",VLOOKUP($C52,'START LİSTE'!$B$6:$G$1006,4,0))</f>
      </c>
      <c r="F52" s="131">
        <f>IF(ISERROR(VLOOKUP($C52,'FERDİ SONUÇ'!$B$6:$H$819,6,0)),"",VLOOKUP($C52,'FERDİ SONUÇ'!$B$6:$H$819,6,0))</f>
      </c>
      <c r="G52" s="36" t="str">
        <f>IF(OR(E52="",F52="DQ",F52="DNF",F52="DNS",F52=""),"-",VLOOKUP(C52,'FERDİ SONUÇ'!$B$6:$H$819,7,0))</f>
        <v>-</v>
      </c>
      <c r="H52" s="36" t="str">
        <f>IF(OR(E52="",E52="F",F52="DQ",F52="DNF",F52="DNS",F52=""),"-",VLOOKUP(C52,'FERDİ SONUÇ'!$B$6:$H$819,7,0))</f>
        <v>-</v>
      </c>
      <c r="I52" s="38" t="str">
        <f>IF(ISERROR(SMALL(H51:H55,2)),"-",SMALL(H51:H55,2))</f>
        <v>-</v>
      </c>
      <c r="J52" s="32"/>
      <c r="AZ52" s="30">
        <v>1055</v>
      </c>
    </row>
    <row r="53" spans="1:52" ht="15" customHeight="1">
      <c r="A53" s="44">
        <f>IF(AND(B53&lt;&gt;"",J53&lt;&gt;"DQ"),COUNT(J$6:J$305)-(RANK(J53,J$6:J$305)+COUNTIF(J$6:J53,J53))+2,IF(C51&lt;&gt;"",AZ53,""))</f>
      </c>
      <c r="B53" s="33">
        <f>IF(ISERROR(VLOOKUP(C51,'START LİSTE'!$B$6:$G$1006,3,0)),"",VLOOKUP(C51,'START LİSTE'!$B$6:$G$1006,3,0))</f>
      </c>
      <c r="C53" s="34"/>
      <c r="D53" s="35">
        <f>IF(ISERROR(VLOOKUP($C53,'START LİSTE'!$B$6:$G$1006,2,0)),"",VLOOKUP($C53,'START LİSTE'!$B$6:$G$1006,2,0))</f>
      </c>
      <c r="E53" s="36">
        <f>IF(ISERROR(VLOOKUP($C53,'START LİSTE'!$B$6:$G$1006,4,0)),"",VLOOKUP($C53,'START LİSTE'!$B$6:$G$1006,4,0))</f>
      </c>
      <c r="F53" s="131">
        <f>IF(ISERROR(VLOOKUP($C53,'FERDİ SONUÇ'!$B$6:$H$819,6,0)),"",VLOOKUP($C53,'FERDİ SONUÇ'!$B$6:$H$819,6,0))</f>
      </c>
      <c r="G53" s="36" t="str">
        <f>IF(OR(E53="",F53="DQ",F53="DNF",F53="DNS",F53=""),"-",VLOOKUP(C53,'FERDİ SONUÇ'!$B$6:$H$819,7,0))</f>
        <v>-</v>
      </c>
      <c r="H53" s="36" t="str">
        <f>IF(OR(E53="",E53="F",F53="DQ",F53="DNF",F53="DNS",F53=""),"-",VLOOKUP(C53,'FERDİ SONUÇ'!$B$6:$H$819,7,0))</f>
        <v>-</v>
      </c>
      <c r="I53" s="38" t="str">
        <f>IF(ISERROR(SMALL(H51:H55,3)),"-",SMALL(H51:H55,3))</f>
        <v>-</v>
      </c>
      <c r="J53" s="43">
        <f>IF(C51="","",IF(OR(I51="-",I52="-",I53="-",I54="-"),"DQ",SUM(I51,I52,I53,I54)))</f>
      </c>
      <c r="AZ53" s="30">
        <v>1056</v>
      </c>
    </row>
    <row r="54" spans="1:52" ht="15" customHeight="1">
      <c r="A54" s="31"/>
      <c r="B54" s="33"/>
      <c r="C54" s="34"/>
      <c r="D54" s="35">
        <f>IF(ISERROR(VLOOKUP($C54,'START LİSTE'!$B$6:$G$1006,2,0)),"",VLOOKUP($C54,'START LİSTE'!$B$6:$G$1006,2,0))</f>
      </c>
      <c r="E54" s="36">
        <f>IF(ISERROR(VLOOKUP($C54,'START LİSTE'!$B$6:$G$1006,4,0)),"",VLOOKUP($C54,'START LİSTE'!$B$6:$G$1006,4,0))</f>
      </c>
      <c r="F54" s="131">
        <f>IF(ISERROR(VLOOKUP($C54,'FERDİ SONUÇ'!$B$6:$H$819,6,0)),"",VLOOKUP($C54,'FERDİ SONUÇ'!$B$6:$H$819,6,0))</f>
      </c>
      <c r="G54" s="36" t="str">
        <f>IF(OR(E54="",F54="DQ",F54="DNF",F54="DNS",F54=""),"-",VLOOKUP(C54,'FERDİ SONUÇ'!$B$6:$H$819,7,0))</f>
        <v>-</v>
      </c>
      <c r="H54" s="36" t="str">
        <f>IF(OR(E54="",E54="F",F54="DQ",F54="DNF",F54="DNS",F54=""),"-",VLOOKUP(C54,'FERDİ SONUÇ'!$B$6:$H$819,7,0))</f>
        <v>-</v>
      </c>
      <c r="I54" s="38" t="str">
        <f>IF(ISERROR(SMALL(H51:H55,4)),"-",SMALL(H51:H55,4))</f>
        <v>-</v>
      </c>
      <c r="J54" s="32"/>
      <c r="AZ54" s="30">
        <v>1057</v>
      </c>
    </row>
    <row r="55" spans="1:52" ht="15" customHeight="1">
      <c r="A55" s="31"/>
      <c r="B55" s="33"/>
      <c r="C55" s="47"/>
      <c r="D55" s="35">
        <f>IF(ISERROR(VLOOKUP($C55,'START LİSTE'!$B$6:$G$1006,2,0)),"",VLOOKUP($C55,'START LİSTE'!$B$6:$G$1006,2,0))</f>
      </c>
      <c r="E55" s="36">
        <f>IF(ISERROR(VLOOKUP($C55,'START LİSTE'!$B$6:$G$1006,4,0)),"",VLOOKUP($C55,'START LİSTE'!$B$6:$G$1006,4,0))</f>
      </c>
      <c r="F55" s="131">
        <f>IF(ISERROR(VLOOKUP($C55,'FERDİ SONUÇ'!$B$6:$H$819,6,0)),"",VLOOKUP($C55,'FERDİ SONUÇ'!$B$6:$H$819,6,0))</f>
      </c>
      <c r="G55" s="36" t="str">
        <f>IF(OR(E55="",F55="DQ",F55="DNF",F55="DNS",F55=""),"-",VLOOKUP(C55,'FERDİ SONUÇ'!$B$6:$H$819,7,0))</f>
        <v>-</v>
      </c>
      <c r="H55" s="36" t="str">
        <f>IF(OR(E55="",E55="F",F55="DQ",F55="DNF",F55="DNS",F55=""),"-",VLOOKUP(C55,'FERDİ SONUÇ'!$B$6:$H$819,7,0))</f>
        <v>-</v>
      </c>
      <c r="I55" s="38" t="str">
        <f>IF(ISERROR(SMALL(H51:H55,5)),"-",SMALL(H51:H55,5))</f>
        <v>-</v>
      </c>
      <c r="J55" s="32"/>
      <c r="AZ55" s="30">
        <v>1058</v>
      </c>
    </row>
    <row r="56" spans="1:52" ht="15" customHeight="1">
      <c r="A56" s="21"/>
      <c r="B56" s="23"/>
      <c r="C56" s="46"/>
      <c r="D56" s="25">
        <f>IF(ISERROR(VLOOKUP($C56,'START LİSTE'!$B$6:$G$1006,2,0)),"",VLOOKUP($C56,'START LİSTE'!$B$6:$G$1006,2,0))</f>
      </c>
      <c r="E56" s="26">
        <f>IF(ISERROR(VLOOKUP($C56,'START LİSTE'!$B$6:$G$1006,4,0)),"",VLOOKUP($C56,'START LİSTE'!$B$6:$G$1006,4,0))</f>
      </c>
      <c r="F56" s="130">
        <f>IF(ISERROR(VLOOKUP($C56,'FERDİ SONUÇ'!$B$6:$H$819,6,0)),"",VLOOKUP($C56,'FERDİ SONUÇ'!$B$6:$H$819,6,0))</f>
      </c>
      <c r="G56" s="26" t="str">
        <f>IF(OR(E56="",F56="DQ",F56="DNF",F56="DNS",F56=""),"-",VLOOKUP(C56,'FERDİ SONUÇ'!$B$6:$H$819,7,0))</f>
        <v>-</v>
      </c>
      <c r="H56" s="26" t="str">
        <f>IF(OR(E56="",E56="F",F56="DQ",F56="DNF",F56="DNS",F56=""),"-",VLOOKUP(C56,'FERDİ SONUÇ'!$B$6:$H$819,7,0))</f>
        <v>-</v>
      </c>
      <c r="I56" s="28" t="str">
        <f>IF(ISERROR(SMALL(H56:H60,1)),"-",SMALL(H56:H60,1))</f>
        <v>-</v>
      </c>
      <c r="J56" s="22"/>
      <c r="AZ56" s="30">
        <v>1060</v>
      </c>
    </row>
    <row r="57" spans="1:52" ht="15" customHeight="1">
      <c r="A57" s="31"/>
      <c r="B57" s="33"/>
      <c r="C57" s="34"/>
      <c r="D57" s="35">
        <f>IF(ISERROR(VLOOKUP($C57,'START LİSTE'!$B$6:$G$1006,2,0)),"",VLOOKUP($C57,'START LİSTE'!$B$6:$G$1006,2,0))</f>
      </c>
      <c r="E57" s="36">
        <f>IF(ISERROR(VLOOKUP($C57,'START LİSTE'!$B$6:$G$1006,4,0)),"",VLOOKUP($C57,'START LİSTE'!$B$6:$G$1006,4,0))</f>
      </c>
      <c r="F57" s="131">
        <f>IF(ISERROR(VLOOKUP($C57,'FERDİ SONUÇ'!$B$6:$H$819,6,0)),"",VLOOKUP($C57,'FERDİ SONUÇ'!$B$6:$H$819,6,0))</f>
      </c>
      <c r="G57" s="36" t="str">
        <f>IF(OR(E57="",F57="DQ",F57="DNF",F57="DNS",F57=""),"-",VLOOKUP(C57,'FERDİ SONUÇ'!$B$6:$H$819,7,0))</f>
        <v>-</v>
      </c>
      <c r="H57" s="36" t="str">
        <f>IF(OR(E57="",E57="F",F57="DQ",F57="DNF",F57="DNS",F57=""),"-",VLOOKUP(C57,'FERDİ SONUÇ'!$B$6:$H$819,7,0))</f>
        <v>-</v>
      </c>
      <c r="I57" s="38" t="str">
        <f>IF(ISERROR(SMALL(H56:H60,2)),"-",SMALL(H56:H60,2))</f>
        <v>-</v>
      </c>
      <c r="J57" s="32"/>
      <c r="AZ57" s="30">
        <v>1061</v>
      </c>
    </row>
    <row r="58" spans="1:52" ht="15" customHeight="1">
      <c r="A58" s="44">
        <f>IF(AND(B58&lt;&gt;"",J58&lt;&gt;"DQ"),COUNT(J$6:J$305)-(RANK(J58,J$6:J$305)+COUNTIF(J$6:J58,J58))+2,IF(C56&lt;&gt;"",AZ58,""))</f>
      </c>
      <c r="B58" s="33">
        <f>IF(ISERROR(VLOOKUP(C56,'START LİSTE'!$B$6:$G$1006,3,0)),"",VLOOKUP(C56,'START LİSTE'!$B$6:$G$1006,3,0))</f>
      </c>
      <c r="C58" s="34"/>
      <c r="D58" s="35">
        <f>IF(ISERROR(VLOOKUP($C58,'START LİSTE'!$B$6:$G$1006,2,0)),"",VLOOKUP($C58,'START LİSTE'!$B$6:$G$1006,2,0))</f>
      </c>
      <c r="E58" s="36">
        <f>IF(ISERROR(VLOOKUP($C58,'START LİSTE'!$B$6:$G$1006,4,0)),"",VLOOKUP($C58,'START LİSTE'!$B$6:$G$1006,4,0))</f>
      </c>
      <c r="F58" s="131">
        <f>IF(ISERROR(VLOOKUP($C58,'FERDİ SONUÇ'!$B$6:$H$819,6,0)),"",VLOOKUP($C58,'FERDİ SONUÇ'!$B$6:$H$819,6,0))</f>
      </c>
      <c r="G58" s="36" t="str">
        <f>IF(OR(E58="",F58="DQ",F58="DNF",F58="DNS",F58=""),"-",VLOOKUP(C58,'FERDİ SONUÇ'!$B$6:$H$819,7,0))</f>
        <v>-</v>
      </c>
      <c r="H58" s="36" t="str">
        <f>IF(OR(E58="",E58="F",F58="DQ",F58="DNF",F58="DNS",F58=""),"-",VLOOKUP(C58,'FERDİ SONUÇ'!$B$6:$H$819,7,0))</f>
        <v>-</v>
      </c>
      <c r="I58" s="38" t="str">
        <f>IF(ISERROR(SMALL(H56:H60,3)),"-",SMALL(H56:H60,3))</f>
        <v>-</v>
      </c>
      <c r="J58" s="43">
        <f>IF(C56="","",IF(OR(I56="-",I57="-",I58="-",I59="-"),"DQ",SUM(I56,I57,I58,I59)))</f>
      </c>
      <c r="AZ58" s="30">
        <v>1062</v>
      </c>
    </row>
    <row r="59" spans="1:52" ht="15" customHeight="1">
      <c r="A59" s="31"/>
      <c r="B59" s="33"/>
      <c r="C59" s="34"/>
      <c r="D59" s="35">
        <f>IF(ISERROR(VLOOKUP($C59,'START LİSTE'!$B$6:$G$1006,2,0)),"",VLOOKUP($C59,'START LİSTE'!$B$6:$G$1006,2,0))</f>
      </c>
      <c r="E59" s="36">
        <f>IF(ISERROR(VLOOKUP($C59,'START LİSTE'!$B$6:$G$1006,4,0)),"",VLOOKUP($C59,'START LİSTE'!$B$6:$G$1006,4,0))</f>
      </c>
      <c r="F59" s="131">
        <f>IF(ISERROR(VLOOKUP($C59,'FERDİ SONUÇ'!$B$6:$H$819,6,0)),"",VLOOKUP($C59,'FERDİ SONUÇ'!$B$6:$H$819,6,0))</f>
      </c>
      <c r="G59" s="36" t="str">
        <f>IF(OR(E59="",F59="DQ",F59="DNF",F59="DNS",F59=""),"-",VLOOKUP(C59,'FERDİ SONUÇ'!$B$6:$H$819,7,0))</f>
        <v>-</v>
      </c>
      <c r="H59" s="36" t="str">
        <f>IF(OR(E59="",E59="F",F59="DQ",F59="DNF",F59="DNS",F59=""),"-",VLOOKUP(C59,'FERDİ SONUÇ'!$B$6:$H$819,7,0))</f>
        <v>-</v>
      </c>
      <c r="I59" s="38" t="str">
        <f>IF(ISERROR(SMALL(H56:H60,4)),"-",SMALL(H56:H60,4))</f>
        <v>-</v>
      </c>
      <c r="J59" s="32"/>
      <c r="AZ59" s="30">
        <v>1063</v>
      </c>
    </row>
    <row r="60" spans="1:52" ht="15" customHeight="1">
      <c r="A60" s="31"/>
      <c r="B60" s="33"/>
      <c r="C60" s="34"/>
      <c r="D60" s="35">
        <f>IF(ISERROR(VLOOKUP($C60,'START LİSTE'!$B$6:$G$1006,2,0)),"",VLOOKUP($C60,'START LİSTE'!$B$6:$G$1006,2,0))</f>
      </c>
      <c r="E60" s="36">
        <f>IF(ISERROR(VLOOKUP($C60,'START LİSTE'!$B$6:$G$1006,4,0)),"",VLOOKUP($C60,'START LİSTE'!$B$6:$G$1006,4,0))</f>
      </c>
      <c r="F60" s="131">
        <f>IF(ISERROR(VLOOKUP($C60,'FERDİ SONUÇ'!$B$6:$H$819,6,0)),"",VLOOKUP($C60,'FERDİ SONUÇ'!$B$6:$H$819,6,0))</f>
      </c>
      <c r="G60" s="36" t="str">
        <f>IF(OR(E60="",F60="DQ",F60="DNF",F60="DNS",F60=""),"-",VLOOKUP(C60,'FERDİ SONUÇ'!$B$6:$H$819,7,0))</f>
        <v>-</v>
      </c>
      <c r="H60" s="36" t="str">
        <f>IF(OR(E60="",E60="F",F60="DQ",F60="DNF",F60="DNS",F60=""),"-",VLOOKUP(C60,'FERDİ SONUÇ'!$B$6:$H$819,7,0))</f>
        <v>-</v>
      </c>
      <c r="I60" s="38" t="str">
        <f>IF(ISERROR(SMALL(H56:H60,5)),"-",SMALL(H56:H60,5))</f>
        <v>-</v>
      </c>
      <c r="J60" s="32"/>
      <c r="AZ60" s="30">
        <v>1064</v>
      </c>
    </row>
    <row r="61" spans="1:52" ht="15" customHeight="1">
      <c r="A61" s="21"/>
      <c r="B61" s="23"/>
      <c r="C61" s="46"/>
      <c r="D61" s="25">
        <f>IF(ISERROR(VLOOKUP($C61,'START LİSTE'!$B$6:$G$1006,2,0)),"",VLOOKUP($C61,'START LİSTE'!$B$6:$G$1006,2,0))</f>
      </c>
      <c r="E61" s="26">
        <f>IF(ISERROR(VLOOKUP($C61,'START LİSTE'!$B$6:$G$1006,4,0)),"",VLOOKUP($C61,'START LİSTE'!$B$6:$G$1006,4,0))</f>
      </c>
      <c r="F61" s="130">
        <f>IF(ISERROR(VLOOKUP($C61,'FERDİ SONUÇ'!$B$6:$H$819,6,0)),"",VLOOKUP($C61,'FERDİ SONUÇ'!$B$6:$H$819,6,0))</f>
      </c>
      <c r="G61" s="26" t="str">
        <f>IF(OR(E61="",F61="DQ",F61="DNF",F61="DNS",F61=""),"-",VLOOKUP(C61,'FERDİ SONUÇ'!$B$6:$H$819,7,0))</f>
        <v>-</v>
      </c>
      <c r="H61" s="26" t="str">
        <f>IF(OR(E61="",E61="F",F61="DQ",F61="DNF",F61="DNS",F61=""),"-",VLOOKUP(C61,'FERDİ SONUÇ'!$B$6:$H$819,7,0))</f>
        <v>-</v>
      </c>
      <c r="I61" s="28" t="str">
        <f>IF(ISERROR(SMALL(H61:H65,1)),"-",SMALL(H61:H65,1))</f>
        <v>-</v>
      </c>
      <c r="J61" s="22"/>
      <c r="AZ61" s="30">
        <v>1066</v>
      </c>
    </row>
    <row r="62" spans="1:52" ht="15" customHeight="1">
      <c r="A62" s="31"/>
      <c r="B62" s="33"/>
      <c r="C62" s="34"/>
      <c r="D62" s="35">
        <f>IF(ISERROR(VLOOKUP($C62,'START LİSTE'!$B$6:$G$1006,2,0)),"",VLOOKUP($C62,'START LİSTE'!$B$6:$G$1006,2,0))</f>
      </c>
      <c r="E62" s="36">
        <f>IF(ISERROR(VLOOKUP($C62,'START LİSTE'!$B$6:$G$1006,4,0)),"",VLOOKUP($C62,'START LİSTE'!$B$6:$G$1006,4,0))</f>
      </c>
      <c r="F62" s="131">
        <f>IF(ISERROR(VLOOKUP($C62,'FERDİ SONUÇ'!$B$6:$H$819,6,0)),"",VLOOKUP($C62,'FERDİ SONUÇ'!$B$6:$H$819,6,0))</f>
      </c>
      <c r="G62" s="36" t="str">
        <f>IF(OR(E62="",F62="DQ",F62="DNF",F62="DNS",F62=""),"-",VLOOKUP(C62,'FERDİ SONUÇ'!$B$6:$H$819,7,0))</f>
        <v>-</v>
      </c>
      <c r="H62" s="36" t="str">
        <f>IF(OR(E62="",E62="F",F62="DQ",F62="DNF",F62="DNS",F62=""),"-",VLOOKUP(C62,'FERDİ SONUÇ'!$B$6:$H$819,7,0))</f>
        <v>-</v>
      </c>
      <c r="I62" s="38" t="str">
        <f>IF(ISERROR(SMALL(H61:H65,2)),"-",SMALL(H61:H65,2))</f>
        <v>-</v>
      </c>
      <c r="J62" s="32"/>
      <c r="AZ62" s="30">
        <v>1067</v>
      </c>
    </row>
    <row r="63" spans="1:52" ht="15" customHeight="1">
      <c r="A63" s="44">
        <f>IF(AND(B63&lt;&gt;"",J63&lt;&gt;"DQ"),COUNT(J$6:J$305)-(RANK(J63,J$6:J$305)+COUNTIF(J$6:J63,J63))+2,IF(C61&lt;&gt;"",AZ63,""))</f>
      </c>
      <c r="B63" s="33">
        <f>IF(ISERROR(VLOOKUP(C61,'START LİSTE'!$B$6:$G$1006,3,0)),"",VLOOKUP(C61,'START LİSTE'!$B$6:$G$1006,3,0))</f>
      </c>
      <c r="C63" s="34"/>
      <c r="D63" s="35">
        <f>IF(ISERROR(VLOOKUP($C63,'START LİSTE'!$B$6:$G$1006,2,0)),"",VLOOKUP($C63,'START LİSTE'!$B$6:$G$1006,2,0))</f>
      </c>
      <c r="E63" s="36">
        <f>IF(ISERROR(VLOOKUP($C63,'START LİSTE'!$B$6:$G$1006,4,0)),"",VLOOKUP($C63,'START LİSTE'!$B$6:$G$1006,4,0))</f>
      </c>
      <c r="F63" s="131">
        <f>IF(ISERROR(VLOOKUP($C63,'FERDİ SONUÇ'!$B$6:$H$819,6,0)),"",VLOOKUP($C63,'FERDİ SONUÇ'!$B$6:$H$819,6,0))</f>
      </c>
      <c r="G63" s="36" t="str">
        <f>IF(OR(E63="",F63="DQ",F63="DNF",F63="DNS",F63=""),"-",VLOOKUP(C63,'FERDİ SONUÇ'!$B$6:$H$819,7,0))</f>
        <v>-</v>
      </c>
      <c r="H63" s="36" t="str">
        <f>IF(OR(E63="",E63="F",F63="DQ",F63="DNF",F63="DNS",F63=""),"-",VLOOKUP(C63,'FERDİ SONUÇ'!$B$6:$H$819,7,0))</f>
        <v>-</v>
      </c>
      <c r="I63" s="38" t="str">
        <f>IF(ISERROR(SMALL(H61:H65,3)),"-",SMALL(H61:H65,3))</f>
        <v>-</v>
      </c>
      <c r="J63" s="43">
        <f>IF(C61="","",IF(OR(I61="-",I62="-",I63="-",I64="-"),"DQ",SUM(I61,I62,I63,I64)))</f>
      </c>
      <c r="AZ63" s="30">
        <v>1068</v>
      </c>
    </row>
    <row r="64" spans="1:52" ht="15" customHeight="1">
      <c r="A64" s="31"/>
      <c r="B64" s="33"/>
      <c r="C64" s="34"/>
      <c r="D64" s="35">
        <f>IF(ISERROR(VLOOKUP($C64,'START LİSTE'!$B$6:$G$1006,2,0)),"",VLOOKUP($C64,'START LİSTE'!$B$6:$G$1006,2,0))</f>
      </c>
      <c r="E64" s="36">
        <f>IF(ISERROR(VLOOKUP($C64,'START LİSTE'!$B$6:$G$1006,4,0)),"",VLOOKUP($C64,'START LİSTE'!$B$6:$G$1006,4,0))</f>
      </c>
      <c r="F64" s="131">
        <f>IF(ISERROR(VLOOKUP($C64,'FERDİ SONUÇ'!$B$6:$H$819,6,0)),"",VLOOKUP($C64,'FERDİ SONUÇ'!$B$6:$H$819,6,0))</f>
      </c>
      <c r="G64" s="36" t="str">
        <f>IF(OR(E64="",F64="DQ",F64="DNF",F64="DNS",F64=""),"-",VLOOKUP(C64,'FERDİ SONUÇ'!$B$6:$H$819,7,0))</f>
        <v>-</v>
      </c>
      <c r="H64" s="36" t="str">
        <f>IF(OR(E64="",E64="F",F64="DQ",F64="DNF",F64="DNS",F64=""),"-",VLOOKUP(C64,'FERDİ SONUÇ'!$B$6:$H$819,7,0))</f>
        <v>-</v>
      </c>
      <c r="I64" s="38" t="str">
        <f>IF(ISERROR(SMALL(H61:H65,4)),"-",SMALL(H61:H65,4))</f>
        <v>-</v>
      </c>
      <c r="J64" s="32"/>
      <c r="AZ64" s="30">
        <v>1069</v>
      </c>
    </row>
    <row r="65" spans="1:52" ht="15" customHeight="1">
      <c r="A65" s="31"/>
      <c r="B65" s="33"/>
      <c r="C65" s="47"/>
      <c r="D65" s="35">
        <f>IF(ISERROR(VLOOKUP($C65,'START LİSTE'!$B$6:$G$1006,2,0)),"",VLOOKUP($C65,'START LİSTE'!$B$6:$G$1006,2,0))</f>
      </c>
      <c r="E65" s="36">
        <f>IF(ISERROR(VLOOKUP($C65,'START LİSTE'!$B$6:$G$1006,4,0)),"",VLOOKUP($C65,'START LİSTE'!$B$6:$G$1006,4,0))</f>
      </c>
      <c r="F65" s="131">
        <f>IF(ISERROR(VLOOKUP($C65,'FERDİ SONUÇ'!$B$6:$H$819,6,0)),"",VLOOKUP($C65,'FERDİ SONUÇ'!$B$6:$H$819,6,0))</f>
      </c>
      <c r="G65" s="36" t="str">
        <f>IF(OR(E65="",F65="DQ",F65="DNF",F65="DNS",F65=""),"-",VLOOKUP(C65,'FERDİ SONUÇ'!$B$6:$H$819,7,0))</f>
        <v>-</v>
      </c>
      <c r="H65" s="36" t="str">
        <f>IF(OR(E65="",E65="F",F65="DQ",F65="DNF",F65="DNS",F65=""),"-",VLOOKUP(C65,'FERDİ SONUÇ'!$B$6:$H$819,7,0))</f>
        <v>-</v>
      </c>
      <c r="I65" s="38" t="str">
        <f>IF(ISERROR(SMALL(H61:H65,5)),"-",SMALL(H61:H65,5))</f>
        <v>-</v>
      </c>
      <c r="J65" s="32"/>
      <c r="AZ65" s="30">
        <v>1070</v>
      </c>
    </row>
    <row r="66" spans="1:52" ht="15" customHeight="1">
      <c r="A66" s="21"/>
      <c r="B66" s="23"/>
      <c r="C66" s="46"/>
      <c r="D66" s="25">
        <f>IF(ISERROR(VLOOKUP($C66,'START LİSTE'!$B$6:$G$1006,2,0)),"",VLOOKUP($C66,'START LİSTE'!$B$6:$G$1006,2,0))</f>
      </c>
      <c r="E66" s="26">
        <f>IF(ISERROR(VLOOKUP($C66,'START LİSTE'!$B$6:$G$1006,4,0)),"",VLOOKUP($C66,'START LİSTE'!$B$6:$G$1006,4,0))</f>
      </c>
      <c r="F66" s="130">
        <f>IF(ISERROR(VLOOKUP($C66,'FERDİ SONUÇ'!$B$6:$H$819,6,0)),"",VLOOKUP($C66,'FERDİ SONUÇ'!$B$6:$H$819,6,0))</f>
      </c>
      <c r="G66" s="26" t="str">
        <f>IF(OR(E66="",F66="DQ",F66="DNF",F66="DNS",F66=""),"-",VLOOKUP(C66,'FERDİ SONUÇ'!$B$6:$H$819,7,0))</f>
        <v>-</v>
      </c>
      <c r="H66" s="26" t="str">
        <f>IF(OR(E66="",E66="F",F66="DQ",F66="DNF",F66="DNS",F66=""),"-",VLOOKUP(C66,'FERDİ SONUÇ'!$B$6:$H$819,7,0))</f>
        <v>-</v>
      </c>
      <c r="I66" s="28" t="str">
        <f>IF(ISERROR(SMALL(H66:H70,1)),"-",SMALL(H66:H70,1))</f>
        <v>-</v>
      </c>
      <c r="J66" s="22"/>
      <c r="AZ66" s="30">
        <v>1072</v>
      </c>
    </row>
    <row r="67" spans="1:52" ht="15" customHeight="1">
      <c r="A67" s="31"/>
      <c r="B67" s="33"/>
      <c r="C67" s="34"/>
      <c r="D67" s="35">
        <f>IF(ISERROR(VLOOKUP($C67,'START LİSTE'!$B$6:$G$1006,2,0)),"",VLOOKUP($C67,'START LİSTE'!$B$6:$G$1006,2,0))</f>
      </c>
      <c r="E67" s="36">
        <f>IF(ISERROR(VLOOKUP($C67,'START LİSTE'!$B$6:$G$1006,4,0)),"",VLOOKUP($C67,'START LİSTE'!$B$6:$G$1006,4,0))</f>
      </c>
      <c r="F67" s="131">
        <f>IF(ISERROR(VLOOKUP($C67,'FERDİ SONUÇ'!$B$6:$H$819,6,0)),"",VLOOKUP($C67,'FERDİ SONUÇ'!$B$6:$H$819,6,0))</f>
      </c>
      <c r="G67" s="36" t="str">
        <f>IF(OR(E67="",F67="DQ",F67="DNF",F67="DNS",F67=""),"-",VLOOKUP(C67,'FERDİ SONUÇ'!$B$6:$H$819,7,0))</f>
        <v>-</v>
      </c>
      <c r="H67" s="36" t="str">
        <f>IF(OR(E67="",E67="F",F67="DQ",F67="DNF",F67="DNS",F67=""),"-",VLOOKUP(C67,'FERDİ SONUÇ'!$B$6:$H$819,7,0))</f>
        <v>-</v>
      </c>
      <c r="I67" s="38" t="str">
        <f>IF(ISERROR(SMALL(H66:H70,2)),"-",SMALL(H66:H70,2))</f>
        <v>-</v>
      </c>
      <c r="J67" s="32"/>
      <c r="AZ67" s="30">
        <v>1073</v>
      </c>
    </row>
    <row r="68" spans="1:52" ht="15" customHeight="1">
      <c r="A68" s="44">
        <f>IF(AND(B68&lt;&gt;"",J68&lt;&gt;"DQ"),COUNT(J$6:J$305)-(RANK(J68,J$6:J$305)+COUNTIF(J$6:J68,J68))+2,IF(C66&lt;&gt;"",AZ68,""))</f>
      </c>
      <c r="B68" s="33">
        <f>IF(ISERROR(VLOOKUP(C66,'START LİSTE'!$B$6:$G$1006,3,0)),"",VLOOKUP(C66,'START LİSTE'!$B$6:$G$1006,3,0))</f>
      </c>
      <c r="C68" s="34"/>
      <c r="D68" s="35">
        <f>IF(ISERROR(VLOOKUP($C68,'START LİSTE'!$B$6:$G$1006,2,0)),"",VLOOKUP($C68,'START LİSTE'!$B$6:$G$1006,2,0))</f>
      </c>
      <c r="E68" s="36">
        <f>IF(ISERROR(VLOOKUP($C68,'START LİSTE'!$B$6:$G$1006,4,0)),"",VLOOKUP($C68,'START LİSTE'!$B$6:$G$1006,4,0))</f>
      </c>
      <c r="F68" s="131">
        <f>IF(ISERROR(VLOOKUP($C68,'FERDİ SONUÇ'!$B$6:$H$819,6,0)),"",VLOOKUP($C68,'FERDİ SONUÇ'!$B$6:$H$819,6,0))</f>
      </c>
      <c r="G68" s="36" t="str">
        <f>IF(OR(E68="",F68="DQ",F68="DNF",F68="DNS",F68=""),"-",VLOOKUP(C68,'FERDİ SONUÇ'!$B$6:$H$819,7,0))</f>
        <v>-</v>
      </c>
      <c r="H68" s="36" t="str">
        <f>IF(OR(E68="",E68="F",F68="DQ",F68="DNF",F68="DNS",F68=""),"-",VLOOKUP(C68,'FERDİ SONUÇ'!$B$6:$H$819,7,0))</f>
        <v>-</v>
      </c>
      <c r="I68" s="38" t="str">
        <f>IF(ISERROR(SMALL(H66:H70,3)),"-",SMALL(H66:H70,3))</f>
        <v>-</v>
      </c>
      <c r="J68" s="43">
        <f>IF(C66="","",IF(OR(I66="-",I67="-",I68="-",I69="-"),"DQ",SUM(I66,I67,I68,I69)))</f>
      </c>
      <c r="AZ68" s="30">
        <v>1074</v>
      </c>
    </row>
    <row r="69" spans="1:52" ht="15" customHeight="1">
      <c r="A69" s="31"/>
      <c r="B69" s="33"/>
      <c r="C69" s="34"/>
      <c r="D69" s="35">
        <f>IF(ISERROR(VLOOKUP($C69,'START LİSTE'!$B$6:$G$1006,2,0)),"",VLOOKUP($C69,'START LİSTE'!$B$6:$G$1006,2,0))</f>
      </c>
      <c r="E69" s="36">
        <f>IF(ISERROR(VLOOKUP($C69,'START LİSTE'!$B$6:$G$1006,4,0)),"",VLOOKUP($C69,'START LİSTE'!$B$6:$G$1006,4,0))</f>
      </c>
      <c r="F69" s="131">
        <f>IF(ISERROR(VLOOKUP($C69,'FERDİ SONUÇ'!$B$6:$H$819,6,0)),"",VLOOKUP($C69,'FERDİ SONUÇ'!$B$6:$H$819,6,0))</f>
      </c>
      <c r="G69" s="36" t="str">
        <f>IF(OR(E69="",F69="DQ",F69="DNF",F69="DNS",F69=""),"-",VLOOKUP(C69,'FERDİ SONUÇ'!$B$6:$H$819,7,0))</f>
        <v>-</v>
      </c>
      <c r="H69" s="36" t="str">
        <f>IF(OR(E69="",E69="F",F69="DQ",F69="DNF",F69="DNS",F69=""),"-",VLOOKUP(C69,'FERDİ SONUÇ'!$B$6:$H$819,7,0))</f>
        <v>-</v>
      </c>
      <c r="I69" s="38" t="str">
        <f>IF(ISERROR(SMALL(H66:H70,4)),"-",SMALL(H66:H70,4))</f>
        <v>-</v>
      </c>
      <c r="J69" s="32"/>
      <c r="AZ69" s="30">
        <v>1075</v>
      </c>
    </row>
    <row r="70" spans="1:52" ht="15" customHeight="1">
      <c r="A70" s="31"/>
      <c r="B70" s="33"/>
      <c r="C70" s="47"/>
      <c r="D70" s="35">
        <f>IF(ISERROR(VLOOKUP($C70,'START LİSTE'!$B$6:$G$1006,2,0)),"",VLOOKUP($C70,'START LİSTE'!$B$6:$G$1006,2,0))</f>
      </c>
      <c r="E70" s="36">
        <f>IF(ISERROR(VLOOKUP($C70,'START LİSTE'!$B$6:$G$1006,4,0)),"",VLOOKUP($C70,'START LİSTE'!$B$6:$G$1006,4,0))</f>
      </c>
      <c r="F70" s="131">
        <f>IF(ISERROR(VLOOKUP($C70,'FERDİ SONUÇ'!$B$6:$H$819,6,0)),"",VLOOKUP($C70,'FERDİ SONUÇ'!$B$6:$H$819,6,0))</f>
      </c>
      <c r="G70" s="36" t="str">
        <f>IF(OR(E70="",F70="DQ",F70="DNF",F70="DNS",F70=""),"-",VLOOKUP(C70,'FERDİ SONUÇ'!$B$6:$H$819,7,0))</f>
        <v>-</v>
      </c>
      <c r="H70" s="36" t="str">
        <f>IF(OR(E70="",E70="F",F70="DQ",F70="DNF",F70="DNS",F70=""),"-",VLOOKUP(C70,'FERDİ SONUÇ'!$B$6:$H$819,7,0))</f>
        <v>-</v>
      </c>
      <c r="I70" s="38" t="str">
        <f>IF(ISERROR(SMALL(H66:H70,5)),"-",SMALL(H66:H70,5))</f>
        <v>-</v>
      </c>
      <c r="J70" s="32"/>
      <c r="AZ70" s="30">
        <v>1076</v>
      </c>
    </row>
    <row r="71" spans="1:52" ht="15" customHeight="1">
      <c r="A71" s="21"/>
      <c r="B71" s="23"/>
      <c r="C71" s="46"/>
      <c r="D71" s="25">
        <f>IF(ISERROR(VLOOKUP($C71,'START LİSTE'!$B$6:$G$1006,2,0)),"",VLOOKUP($C71,'START LİSTE'!$B$6:$G$1006,2,0))</f>
      </c>
      <c r="E71" s="26">
        <f>IF(ISERROR(VLOOKUP($C71,'START LİSTE'!$B$6:$G$1006,4,0)),"",VLOOKUP($C71,'START LİSTE'!$B$6:$G$1006,4,0))</f>
      </c>
      <c r="F71" s="130">
        <f>IF(ISERROR(VLOOKUP($C71,'FERDİ SONUÇ'!$B$6:$H$819,6,0)),"",VLOOKUP($C71,'FERDİ SONUÇ'!$B$6:$H$819,6,0))</f>
      </c>
      <c r="G71" s="26" t="str">
        <f>IF(OR(E71="",F71="DQ",F71="DNF",F71="DNS",F71=""),"-",VLOOKUP(C71,'FERDİ SONUÇ'!$B$6:$H$819,7,0))</f>
        <v>-</v>
      </c>
      <c r="H71" s="26" t="str">
        <f>IF(OR(E71="",E71="F",F71="DQ",F71="DNF",F71="DNS",F71=""),"-",VLOOKUP(C71,'FERDİ SONUÇ'!$B$6:$H$819,7,0))</f>
        <v>-</v>
      </c>
      <c r="I71" s="28" t="str">
        <f>IF(ISERROR(SMALL(H71:H75,1)),"-",SMALL(H71:H75,1))</f>
        <v>-</v>
      </c>
      <c r="J71" s="22"/>
      <c r="AZ71" s="30">
        <v>1078</v>
      </c>
    </row>
    <row r="72" spans="1:52" ht="15" customHeight="1">
      <c r="A72" s="31"/>
      <c r="B72" s="33"/>
      <c r="C72" s="34"/>
      <c r="D72" s="35">
        <f>IF(ISERROR(VLOOKUP($C72,'START LİSTE'!$B$6:$G$1006,2,0)),"",VLOOKUP($C72,'START LİSTE'!$B$6:$G$1006,2,0))</f>
      </c>
      <c r="E72" s="36">
        <f>IF(ISERROR(VLOOKUP($C72,'START LİSTE'!$B$6:$G$1006,4,0)),"",VLOOKUP($C72,'START LİSTE'!$B$6:$G$1006,4,0))</f>
      </c>
      <c r="F72" s="131">
        <f>IF(ISERROR(VLOOKUP($C72,'FERDİ SONUÇ'!$B$6:$H$819,6,0)),"",VLOOKUP($C72,'FERDİ SONUÇ'!$B$6:$H$819,6,0))</f>
      </c>
      <c r="G72" s="36" t="str">
        <f>IF(OR(E72="",F72="DQ",F72="DNF",F72="DNS",F72=""),"-",VLOOKUP(C72,'FERDİ SONUÇ'!$B$6:$H$819,7,0))</f>
        <v>-</v>
      </c>
      <c r="H72" s="36" t="str">
        <f>IF(OR(E72="",E72="F",F72="DQ",F72="DNF",F72="DNS",F72=""),"-",VLOOKUP(C72,'FERDİ SONUÇ'!$B$6:$H$819,7,0))</f>
        <v>-</v>
      </c>
      <c r="I72" s="38" t="str">
        <f>IF(ISERROR(SMALL(H71:H75,2)),"-",SMALL(H71:H75,2))</f>
        <v>-</v>
      </c>
      <c r="J72" s="32"/>
      <c r="AZ72" s="30">
        <v>1079</v>
      </c>
    </row>
    <row r="73" spans="1:52" ht="15" customHeight="1">
      <c r="A73" s="44">
        <f>IF(AND(B73&lt;&gt;"",J73&lt;&gt;"DQ"),COUNT(J$6:J$305)-(RANK(J73,J$6:J$305)+COUNTIF(J$6:J73,J73))+2,IF(C71&lt;&gt;"",AZ73,""))</f>
      </c>
      <c r="B73" s="33">
        <f>IF(ISERROR(VLOOKUP(C71,'START LİSTE'!$B$6:$G$1006,3,0)),"",VLOOKUP(C71,'START LİSTE'!$B$6:$G$1006,3,0))</f>
      </c>
      <c r="C73" s="34"/>
      <c r="D73" s="35">
        <f>IF(ISERROR(VLOOKUP($C73,'START LİSTE'!$B$6:$G$1006,2,0)),"",VLOOKUP($C73,'START LİSTE'!$B$6:$G$1006,2,0))</f>
      </c>
      <c r="E73" s="36">
        <f>IF(ISERROR(VLOOKUP($C73,'START LİSTE'!$B$6:$G$1006,4,0)),"",VLOOKUP($C73,'START LİSTE'!$B$6:$G$1006,4,0))</f>
      </c>
      <c r="F73" s="131">
        <f>IF(ISERROR(VLOOKUP($C73,'FERDİ SONUÇ'!$B$6:$H$819,6,0)),"",VLOOKUP($C73,'FERDİ SONUÇ'!$B$6:$H$819,6,0))</f>
      </c>
      <c r="G73" s="36" t="str">
        <f>IF(OR(E73="",F73="DQ",F73="DNF",F73="DNS",F73=""),"-",VLOOKUP(C73,'FERDİ SONUÇ'!$B$6:$H$819,7,0))</f>
        <v>-</v>
      </c>
      <c r="H73" s="36" t="str">
        <f>IF(OR(E73="",E73="F",F73="DQ",F73="DNF",F73="DNS",F73=""),"-",VLOOKUP(C73,'FERDİ SONUÇ'!$B$6:$H$819,7,0))</f>
        <v>-</v>
      </c>
      <c r="I73" s="38" t="str">
        <f>IF(ISERROR(SMALL(H71:H75,3)),"-",SMALL(H71:H75,3))</f>
        <v>-</v>
      </c>
      <c r="J73" s="43">
        <f>IF(C71="","",IF(OR(I71="-",I72="-",I73="-",I74="-"),"DQ",SUM(I71,I72,I73,I74)))</f>
      </c>
      <c r="AZ73" s="30">
        <v>1080</v>
      </c>
    </row>
    <row r="74" spans="1:52" ht="15" customHeight="1">
      <c r="A74" s="31"/>
      <c r="B74" s="33"/>
      <c r="C74" s="34"/>
      <c r="D74" s="35">
        <f>IF(ISERROR(VLOOKUP($C74,'START LİSTE'!$B$6:$G$1006,2,0)),"",VLOOKUP($C74,'START LİSTE'!$B$6:$G$1006,2,0))</f>
      </c>
      <c r="E74" s="36">
        <f>IF(ISERROR(VLOOKUP($C74,'START LİSTE'!$B$6:$G$1006,4,0)),"",VLOOKUP($C74,'START LİSTE'!$B$6:$G$1006,4,0))</f>
      </c>
      <c r="F74" s="131">
        <f>IF(ISERROR(VLOOKUP($C74,'FERDİ SONUÇ'!$B$6:$H$819,6,0)),"",VLOOKUP($C74,'FERDİ SONUÇ'!$B$6:$H$819,6,0))</f>
      </c>
      <c r="G74" s="36" t="str">
        <f>IF(OR(E74="",F74="DQ",F74="DNF",F74="DNS",F74=""),"-",VLOOKUP(C74,'FERDİ SONUÇ'!$B$6:$H$819,7,0))</f>
        <v>-</v>
      </c>
      <c r="H74" s="36" t="str">
        <f>IF(OR(E74="",E74="F",F74="DQ",F74="DNF",F74="DNS",F74=""),"-",VLOOKUP(C74,'FERDİ SONUÇ'!$B$6:$H$819,7,0))</f>
        <v>-</v>
      </c>
      <c r="I74" s="38" t="str">
        <f>IF(ISERROR(SMALL(H71:H75,4)),"-",SMALL(H71:H75,4))</f>
        <v>-</v>
      </c>
      <c r="J74" s="32"/>
      <c r="AZ74" s="30">
        <v>1081</v>
      </c>
    </row>
    <row r="75" spans="1:52" ht="15" customHeight="1">
      <c r="A75" s="31"/>
      <c r="B75" s="33"/>
      <c r="C75" s="47"/>
      <c r="D75" s="35">
        <f>IF(ISERROR(VLOOKUP($C75,'START LİSTE'!$B$6:$G$1006,2,0)),"",VLOOKUP($C75,'START LİSTE'!$B$6:$G$1006,2,0))</f>
      </c>
      <c r="E75" s="36">
        <f>IF(ISERROR(VLOOKUP($C75,'START LİSTE'!$B$6:$G$1006,4,0)),"",VLOOKUP($C75,'START LİSTE'!$B$6:$G$1006,4,0))</f>
      </c>
      <c r="F75" s="131">
        <f>IF(ISERROR(VLOOKUP($C75,'FERDİ SONUÇ'!$B$6:$H$819,6,0)),"",VLOOKUP($C75,'FERDİ SONUÇ'!$B$6:$H$819,6,0))</f>
      </c>
      <c r="G75" s="36" t="str">
        <f>IF(OR(E75="",F75="DQ",F75="DNF",F75="DNS",F75=""),"-",VLOOKUP(C75,'FERDİ SONUÇ'!$B$6:$H$819,7,0))</f>
        <v>-</v>
      </c>
      <c r="H75" s="36" t="str">
        <f>IF(OR(E75="",E75="F",F75="DQ",F75="DNF",F75="DNS",F75=""),"-",VLOOKUP(C75,'FERDİ SONUÇ'!$B$6:$H$819,7,0))</f>
        <v>-</v>
      </c>
      <c r="I75" s="38" t="str">
        <f>IF(ISERROR(SMALL(H71:H75,5)),"-",SMALL(H71:H75,5))</f>
        <v>-</v>
      </c>
      <c r="J75" s="32"/>
      <c r="AZ75" s="30">
        <v>1082</v>
      </c>
    </row>
    <row r="76" spans="1:52" ht="15" customHeight="1">
      <c r="A76" s="21"/>
      <c r="B76" s="23"/>
      <c r="C76" s="46"/>
      <c r="D76" s="25">
        <f>IF(ISERROR(VLOOKUP($C76,'START LİSTE'!$B$6:$G$1006,2,0)),"",VLOOKUP($C76,'START LİSTE'!$B$6:$G$1006,2,0))</f>
      </c>
      <c r="E76" s="26">
        <f>IF(ISERROR(VLOOKUP($C76,'START LİSTE'!$B$6:$G$1006,4,0)),"",VLOOKUP($C76,'START LİSTE'!$B$6:$G$1006,4,0))</f>
      </c>
      <c r="F76" s="130">
        <f>IF(ISERROR(VLOOKUP($C76,'FERDİ SONUÇ'!$B$6:$H$819,6,0)),"",VLOOKUP($C76,'FERDİ SONUÇ'!$B$6:$H$819,6,0))</f>
      </c>
      <c r="G76" s="26" t="str">
        <f>IF(OR(E76="",F76="DQ",F76="DNF",F76="DNS",F76=""),"-",VLOOKUP(C76,'FERDİ SONUÇ'!$B$6:$H$819,7,0))</f>
        <v>-</v>
      </c>
      <c r="H76" s="26" t="str">
        <f>IF(OR(E76="",E76="F",F76="DQ",F76="DNF",F76="DNS",F76=""),"-",VLOOKUP(C76,'FERDİ SONUÇ'!$B$6:$H$819,7,0))</f>
        <v>-</v>
      </c>
      <c r="I76" s="28" t="str">
        <f>IF(ISERROR(SMALL(H76:H80,1)),"-",SMALL(H76:H80,1))</f>
        <v>-</v>
      </c>
      <c r="J76" s="22"/>
      <c r="AZ76" s="30">
        <v>1084</v>
      </c>
    </row>
    <row r="77" spans="1:52" ht="15" customHeight="1">
      <c r="A77" s="31"/>
      <c r="B77" s="33"/>
      <c r="C77" s="34"/>
      <c r="D77" s="35">
        <f>IF(ISERROR(VLOOKUP($C77,'START LİSTE'!$B$6:$G$1006,2,0)),"",VLOOKUP($C77,'START LİSTE'!$B$6:$G$1006,2,0))</f>
      </c>
      <c r="E77" s="36">
        <f>IF(ISERROR(VLOOKUP($C77,'START LİSTE'!$B$6:$G$1006,4,0)),"",VLOOKUP($C77,'START LİSTE'!$B$6:$G$1006,4,0))</f>
      </c>
      <c r="F77" s="131">
        <f>IF(ISERROR(VLOOKUP($C77,'FERDİ SONUÇ'!$B$6:$H$819,6,0)),"",VLOOKUP($C77,'FERDİ SONUÇ'!$B$6:$H$819,6,0))</f>
      </c>
      <c r="G77" s="36" t="str">
        <f>IF(OR(E77="",F77="DQ",F77="DNF",F77="DNS",F77=""),"-",VLOOKUP(C77,'FERDİ SONUÇ'!$B$6:$H$819,7,0))</f>
        <v>-</v>
      </c>
      <c r="H77" s="36" t="str">
        <f>IF(OR(E77="",E77="F",F77="DQ",F77="DNF",F77="DNS",F77=""),"-",VLOOKUP(C77,'FERDİ SONUÇ'!$B$6:$H$819,7,0))</f>
        <v>-</v>
      </c>
      <c r="I77" s="38" t="str">
        <f>IF(ISERROR(SMALL(H76:H80,2)),"-",SMALL(H76:H80,2))</f>
        <v>-</v>
      </c>
      <c r="J77" s="32"/>
      <c r="AZ77" s="30">
        <v>1085</v>
      </c>
    </row>
    <row r="78" spans="1:52" ht="15" customHeight="1">
      <c r="A78" s="44">
        <f>IF(AND(B78&lt;&gt;"",J78&lt;&gt;"DQ"),COUNT(J$6:J$305)-(RANK(J78,J$6:J$305)+COUNTIF(J$6:J78,J78))+2,IF(C76&lt;&gt;"",AZ78,""))</f>
      </c>
      <c r="B78" s="33">
        <f>IF(ISERROR(VLOOKUP(C76,'START LİSTE'!$B$6:$G$1006,3,0)),"",VLOOKUP(C76,'START LİSTE'!$B$6:$G$1006,3,0))</f>
      </c>
      <c r="C78" s="34"/>
      <c r="D78" s="35">
        <f>IF(ISERROR(VLOOKUP($C78,'START LİSTE'!$B$6:$G$1006,2,0)),"",VLOOKUP($C78,'START LİSTE'!$B$6:$G$1006,2,0))</f>
      </c>
      <c r="E78" s="36">
        <f>IF(ISERROR(VLOOKUP($C78,'START LİSTE'!$B$6:$G$1006,4,0)),"",VLOOKUP($C78,'START LİSTE'!$B$6:$G$1006,4,0))</f>
      </c>
      <c r="F78" s="131">
        <f>IF(ISERROR(VLOOKUP($C78,'FERDİ SONUÇ'!$B$6:$H$819,6,0)),"",VLOOKUP($C78,'FERDİ SONUÇ'!$B$6:$H$819,6,0))</f>
      </c>
      <c r="G78" s="36" t="str">
        <f>IF(OR(E78="",F78="DQ",F78="DNF",F78="DNS",F78=""),"-",VLOOKUP(C78,'FERDİ SONUÇ'!$B$6:$H$819,7,0))</f>
        <v>-</v>
      </c>
      <c r="H78" s="36" t="str">
        <f>IF(OR(E78="",E78="F",F78="DQ",F78="DNF",F78="DNS",F78=""),"-",VLOOKUP(C78,'FERDİ SONUÇ'!$B$6:$H$819,7,0))</f>
        <v>-</v>
      </c>
      <c r="I78" s="38" t="str">
        <f>IF(ISERROR(SMALL(H76:H80,3)),"-",SMALL(H76:H80,3))</f>
        <v>-</v>
      </c>
      <c r="J78" s="43">
        <f>IF(C76="","",IF(OR(I76="-",I77="-",I78="-",I79="-"),"DQ",SUM(I76,I77,I78,I79)))</f>
      </c>
      <c r="AZ78" s="30">
        <v>1086</v>
      </c>
    </row>
    <row r="79" spans="1:52" ht="15" customHeight="1">
      <c r="A79" s="31"/>
      <c r="B79" s="33"/>
      <c r="C79" s="34"/>
      <c r="D79" s="35">
        <f>IF(ISERROR(VLOOKUP($C79,'START LİSTE'!$B$6:$G$1006,2,0)),"",VLOOKUP($C79,'START LİSTE'!$B$6:$G$1006,2,0))</f>
      </c>
      <c r="E79" s="36">
        <f>IF(ISERROR(VLOOKUP($C79,'START LİSTE'!$B$6:$G$1006,4,0)),"",VLOOKUP($C79,'START LİSTE'!$B$6:$G$1006,4,0))</f>
      </c>
      <c r="F79" s="131">
        <f>IF(ISERROR(VLOOKUP($C79,'FERDİ SONUÇ'!$B$6:$H$819,6,0)),"",VLOOKUP($C79,'FERDİ SONUÇ'!$B$6:$H$819,6,0))</f>
      </c>
      <c r="G79" s="36" t="str">
        <f>IF(OR(E79="",F79="DQ",F79="DNF",F79="DNS",F79=""),"-",VLOOKUP(C79,'FERDİ SONUÇ'!$B$6:$H$819,7,0))</f>
        <v>-</v>
      </c>
      <c r="H79" s="36" t="str">
        <f>IF(OR(E79="",E79="F",F79="DQ",F79="DNF",F79="DNS",F79=""),"-",VLOOKUP(C79,'FERDİ SONUÇ'!$B$6:$H$819,7,0))</f>
        <v>-</v>
      </c>
      <c r="I79" s="38" t="str">
        <f>IF(ISERROR(SMALL(H76:H80,4)),"-",SMALL(H76:H80,4))</f>
        <v>-</v>
      </c>
      <c r="J79" s="32"/>
      <c r="AZ79" s="30">
        <v>1087</v>
      </c>
    </row>
    <row r="80" spans="1:52" ht="15" customHeight="1">
      <c r="A80" s="31"/>
      <c r="B80" s="33"/>
      <c r="C80" s="47"/>
      <c r="D80" s="35">
        <f>IF(ISERROR(VLOOKUP($C80,'START LİSTE'!$B$6:$G$1006,2,0)),"",VLOOKUP($C80,'START LİSTE'!$B$6:$G$1006,2,0))</f>
      </c>
      <c r="E80" s="36">
        <f>IF(ISERROR(VLOOKUP($C80,'START LİSTE'!$B$6:$G$1006,4,0)),"",VLOOKUP($C80,'START LİSTE'!$B$6:$G$1006,4,0))</f>
      </c>
      <c r="F80" s="131">
        <f>IF(ISERROR(VLOOKUP($C80,'FERDİ SONUÇ'!$B$6:$H$819,6,0)),"",VLOOKUP($C80,'FERDİ SONUÇ'!$B$6:$H$819,6,0))</f>
      </c>
      <c r="G80" s="36" t="str">
        <f>IF(OR(E80="",F80="DQ",F80="DNF",F80="DNS",F80=""),"-",VLOOKUP(C80,'FERDİ SONUÇ'!$B$6:$H$819,7,0))</f>
        <v>-</v>
      </c>
      <c r="H80" s="36" t="str">
        <f>IF(OR(E80="",E80="F",F80="DQ",F80="DNF",F80="DNS",F80=""),"-",VLOOKUP(C80,'FERDİ SONUÇ'!$B$6:$H$819,7,0))</f>
        <v>-</v>
      </c>
      <c r="I80" s="38" t="str">
        <f>IF(ISERROR(SMALL(H76:H80,5)),"-",SMALL(H76:H80,5))</f>
        <v>-</v>
      </c>
      <c r="J80" s="32"/>
      <c r="AZ80" s="30">
        <v>1088</v>
      </c>
    </row>
    <row r="81" spans="1:52" ht="15" customHeight="1">
      <c r="A81" s="21"/>
      <c r="B81" s="23"/>
      <c r="C81" s="46"/>
      <c r="D81" s="25">
        <f>IF(ISERROR(VLOOKUP($C81,'START LİSTE'!$B$6:$G$1006,2,0)),"",VLOOKUP($C81,'START LİSTE'!$B$6:$G$1006,2,0))</f>
      </c>
      <c r="E81" s="26">
        <f>IF(ISERROR(VLOOKUP($C81,'START LİSTE'!$B$6:$G$1006,4,0)),"",VLOOKUP($C81,'START LİSTE'!$B$6:$G$1006,4,0))</f>
      </c>
      <c r="F81" s="130">
        <f>IF(ISERROR(VLOOKUP($C81,'FERDİ SONUÇ'!$B$6:$H$819,6,0)),"",VLOOKUP($C81,'FERDİ SONUÇ'!$B$6:$H$819,6,0))</f>
      </c>
      <c r="G81" s="26" t="str">
        <f>IF(OR(E81="",F81="DQ",F81="DNF",F81="DNS",F81=""),"-",VLOOKUP(C81,'FERDİ SONUÇ'!$B$6:$H$819,7,0))</f>
        <v>-</v>
      </c>
      <c r="H81" s="26" t="str">
        <f>IF(OR(E81="",E81="F",F81="DQ",F81="DNF",F81="DNS",F81=""),"-",VLOOKUP(C81,'FERDİ SONUÇ'!$B$6:$H$819,7,0))</f>
        <v>-</v>
      </c>
      <c r="I81" s="28" t="str">
        <f>IF(ISERROR(SMALL(H81:H85,1)),"-",SMALL(H81:H85,1))</f>
        <v>-</v>
      </c>
      <c r="J81" s="22"/>
      <c r="AZ81" s="30">
        <v>1090</v>
      </c>
    </row>
    <row r="82" spans="1:52" ht="15" customHeight="1">
      <c r="A82" s="31"/>
      <c r="B82" s="33"/>
      <c r="C82" s="34"/>
      <c r="D82" s="35">
        <f>IF(ISERROR(VLOOKUP($C82,'START LİSTE'!$B$6:$G$1006,2,0)),"",VLOOKUP($C82,'START LİSTE'!$B$6:$G$1006,2,0))</f>
      </c>
      <c r="E82" s="36">
        <f>IF(ISERROR(VLOOKUP($C82,'START LİSTE'!$B$6:$G$1006,4,0)),"",VLOOKUP($C82,'START LİSTE'!$B$6:$G$1006,4,0))</f>
      </c>
      <c r="F82" s="131">
        <f>IF(ISERROR(VLOOKUP($C82,'FERDİ SONUÇ'!$B$6:$H$819,6,0)),"",VLOOKUP($C82,'FERDİ SONUÇ'!$B$6:$H$819,6,0))</f>
      </c>
      <c r="G82" s="36" t="str">
        <f>IF(OR(E82="",F82="DQ",F82="DNF",F82="DNS",F82=""),"-",VLOOKUP(C82,'FERDİ SONUÇ'!$B$6:$H$819,7,0))</f>
        <v>-</v>
      </c>
      <c r="H82" s="36" t="str">
        <f>IF(OR(E82="",E82="F",F82="DQ",F82="DNF",F82="DNS",F82=""),"-",VLOOKUP(C82,'FERDİ SONUÇ'!$B$6:$H$819,7,0))</f>
        <v>-</v>
      </c>
      <c r="I82" s="38" t="str">
        <f>IF(ISERROR(SMALL(H81:H85,2)),"-",SMALL(H81:H85,2))</f>
        <v>-</v>
      </c>
      <c r="J82" s="32"/>
      <c r="AZ82" s="30">
        <v>1091</v>
      </c>
    </row>
    <row r="83" spans="1:52" ht="15" customHeight="1">
      <c r="A83" s="44">
        <f>IF(AND(B83&lt;&gt;"",J83&lt;&gt;"DQ"),COUNT(J$6:J$305)-(RANK(J83,J$6:J$305)+COUNTIF(J$6:J83,J83))+2,IF(C81&lt;&gt;"",AZ83,""))</f>
      </c>
      <c r="B83" s="33">
        <f>IF(ISERROR(VLOOKUP(C81,'START LİSTE'!$B$6:$G$1006,3,0)),"",VLOOKUP(C81,'START LİSTE'!$B$6:$G$1006,3,0))</f>
      </c>
      <c r="C83" s="34"/>
      <c r="D83" s="35">
        <f>IF(ISERROR(VLOOKUP($C83,'START LİSTE'!$B$6:$G$1006,2,0)),"",VLOOKUP($C83,'START LİSTE'!$B$6:$G$1006,2,0))</f>
      </c>
      <c r="E83" s="36">
        <f>IF(ISERROR(VLOOKUP($C83,'START LİSTE'!$B$6:$G$1006,4,0)),"",VLOOKUP($C83,'START LİSTE'!$B$6:$G$1006,4,0))</f>
      </c>
      <c r="F83" s="131">
        <f>IF(ISERROR(VLOOKUP($C83,'FERDİ SONUÇ'!$B$6:$H$819,6,0)),"",VLOOKUP($C83,'FERDİ SONUÇ'!$B$6:$H$819,6,0))</f>
      </c>
      <c r="G83" s="36" t="str">
        <f>IF(OR(E83="",F83="DQ",F83="DNF",F83="DNS",F83=""),"-",VLOOKUP(C83,'FERDİ SONUÇ'!$B$6:$H$819,7,0))</f>
        <v>-</v>
      </c>
      <c r="H83" s="36" t="str">
        <f>IF(OR(E83="",E83="F",F83="DQ",F83="DNF",F83="DNS",F83=""),"-",VLOOKUP(C83,'FERDİ SONUÇ'!$B$6:$H$819,7,0))</f>
        <v>-</v>
      </c>
      <c r="I83" s="38" t="str">
        <f>IF(ISERROR(SMALL(H81:H85,3)),"-",SMALL(H81:H85,3))</f>
        <v>-</v>
      </c>
      <c r="J83" s="43">
        <f>IF(C81="","",IF(OR(I81="-",I82="-",I83="-",I84="-"),"DQ",SUM(I81,I82,I83,I84)))</f>
      </c>
      <c r="AZ83" s="30">
        <v>1092</v>
      </c>
    </row>
    <row r="84" spans="1:52" ht="15" customHeight="1">
      <c r="A84" s="31"/>
      <c r="B84" s="33"/>
      <c r="C84" s="34"/>
      <c r="D84" s="35">
        <f>IF(ISERROR(VLOOKUP($C84,'START LİSTE'!$B$6:$G$1006,2,0)),"",VLOOKUP($C84,'START LİSTE'!$B$6:$G$1006,2,0))</f>
      </c>
      <c r="E84" s="36">
        <f>IF(ISERROR(VLOOKUP($C84,'START LİSTE'!$B$6:$G$1006,4,0)),"",VLOOKUP($C84,'START LİSTE'!$B$6:$G$1006,4,0))</f>
      </c>
      <c r="F84" s="131">
        <f>IF(ISERROR(VLOOKUP($C84,'FERDİ SONUÇ'!$B$6:$H$819,6,0)),"",VLOOKUP($C84,'FERDİ SONUÇ'!$B$6:$H$819,6,0))</f>
      </c>
      <c r="G84" s="36" t="str">
        <f>IF(OR(E84="",F84="DQ",F84="DNF",F84="DNS",F84=""),"-",VLOOKUP(C84,'FERDİ SONUÇ'!$B$6:$H$819,7,0))</f>
        <v>-</v>
      </c>
      <c r="H84" s="36" t="str">
        <f>IF(OR(E84="",E84="F",F84="DQ",F84="DNF",F84="DNS",F84=""),"-",VLOOKUP(C84,'FERDİ SONUÇ'!$B$6:$H$819,7,0))</f>
        <v>-</v>
      </c>
      <c r="I84" s="38" t="str">
        <f>IF(ISERROR(SMALL(H81:H85,4)),"-",SMALL(H81:H85,4))</f>
        <v>-</v>
      </c>
      <c r="J84" s="32"/>
      <c r="AZ84" s="30">
        <v>1093</v>
      </c>
    </row>
    <row r="85" spans="1:52" ht="15" customHeight="1">
      <c r="A85" s="31"/>
      <c r="B85" s="33"/>
      <c r="C85" s="47"/>
      <c r="D85" s="35">
        <f>IF(ISERROR(VLOOKUP($C85,'START LİSTE'!$B$6:$G$1006,2,0)),"",VLOOKUP($C85,'START LİSTE'!$B$6:$G$1006,2,0))</f>
      </c>
      <c r="E85" s="36">
        <f>IF(ISERROR(VLOOKUP($C85,'START LİSTE'!$B$6:$G$1006,4,0)),"",VLOOKUP($C85,'START LİSTE'!$B$6:$G$1006,4,0))</f>
      </c>
      <c r="F85" s="131">
        <f>IF(ISERROR(VLOOKUP($C85,'FERDİ SONUÇ'!$B$6:$H$819,6,0)),"",VLOOKUP($C85,'FERDİ SONUÇ'!$B$6:$H$819,6,0))</f>
      </c>
      <c r="G85" s="36" t="str">
        <f>IF(OR(E85="",F85="DQ",F85="DNF",F85="DNS",F85=""),"-",VLOOKUP(C85,'FERDİ SONUÇ'!$B$6:$H$819,7,0))</f>
        <v>-</v>
      </c>
      <c r="H85" s="36" t="str">
        <f>IF(OR(E85="",E85="F",F85="DQ",F85="DNF",F85="DNS",F85=""),"-",VLOOKUP(C85,'FERDİ SONUÇ'!$B$6:$H$819,7,0))</f>
        <v>-</v>
      </c>
      <c r="I85" s="38" t="str">
        <f>IF(ISERROR(SMALL(H81:H85,5)),"-",SMALL(H81:H85,5))</f>
        <v>-</v>
      </c>
      <c r="J85" s="32"/>
      <c r="AZ85" s="30">
        <v>1094</v>
      </c>
    </row>
    <row r="86" spans="1:52" ht="15" customHeight="1">
      <c r="A86" s="21"/>
      <c r="B86" s="23"/>
      <c r="C86" s="46"/>
      <c r="D86" s="25">
        <f>IF(ISERROR(VLOOKUP($C86,'START LİSTE'!$B$6:$G$1006,2,0)),"",VLOOKUP($C86,'START LİSTE'!$B$6:$G$1006,2,0))</f>
      </c>
      <c r="E86" s="26">
        <f>IF(ISERROR(VLOOKUP($C86,'START LİSTE'!$B$6:$G$1006,4,0)),"",VLOOKUP($C86,'START LİSTE'!$B$6:$G$1006,4,0))</f>
      </c>
      <c r="F86" s="130">
        <f>IF(ISERROR(VLOOKUP($C86,'FERDİ SONUÇ'!$B$6:$H$819,6,0)),"",VLOOKUP($C86,'FERDİ SONUÇ'!$B$6:$H$819,6,0))</f>
      </c>
      <c r="G86" s="26" t="str">
        <f>IF(OR(E86="",F86="DQ",F86="DNF",F86="DNS",F86=""),"-",VLOOKUP(C86,'FERDİ SONUÇ'!$B$6:$H$819,7,0))</f>
        <v>-</v>
      </c>
      <c r="H86" s="26" t="str">
        <f>IF(OR(E86="",E86="F",F86="DQ",F86="DNF",F86="DNS",F86=""),"-",VLOOKUP(C86,'FERDİ SONUÇ'!$B$6:$H$819,7,0))</f>
        <v>-</v>
      </c>
      <c r="I86" s="28" t="str">
        <f>IF(ISERROR(SMALL(H86:H90,1)),"-",SMALL(H86:H90,1))</f>
        <v>-</v>
      </c>
      <c r="J86" s="22"/>
      <c r="AZ86" s="30">
        <v>1096</v>
      </c>
    </row>
    <row r="87" spans="1:52" ht="15" customHeight="1">
      <c r="A87" s="31"/>
      <c r="B87" s="33"/>
      <c r="C87" s="34"/>
      <c r="D87" s="35">
        <f>IF(ISERROR(VLOOKUP($C87,'START LİSTE'!$B$6:$G$1006,2,0)),"",VLOOKUP($C87,'START LİSTE'!$B$6:$G$1006,2,0))</f>
      </c>
      <c r="E87" s="36">
        <f>IF(ISERROR(VLOOKUP($C87,'START LİSTE'!$B$6:$G$1006,4,0)),"",VLOOKUP($C87,'START LİSTE'!$B$6:$G$1006,4,0))</f>
      </c>
      <c r="F87" s="131">
        <f>IF(ISERROR(VLOOKUP($C87,'FERDİ SONUÇ'!$B$6:$H$819,6,0)),"",VLOOKUP($C87,'FERDİ SONUÇ'!$B$6:$H$819,6,0))</f>
      </c>
      <c r="G87" s="36" t="str">
        <f>IF(OR(E87="",F87="DQ",F87="DNF",F87="DNS",F87=""),"-",VLOOKUP(C87,'FERDİ SONUÇ'!$B$6:$H$819,7,0))</f>
        <v>-</v>
      </c>
      <c r="H87" s="36" t="str">
        <f>IF(OR(E87="",E87="F",F87="DQ",F87="DNF",F87="DNS",F87=""),"-",VLOOKUP(C87,'FERDİ SONUÇ'!$B$6:$H$819,7,0))</f>
        <v>-</v>
      </c>
      <c r="I87" s="38" t="str">
        <f>IF(ISERROR(SMALL(H86:H90,2)),"-",SMALL(H86:H90,2))</f>
        <v>-</v>
      </c>
      <c r="J87" s="32"/>
      <c r="AZ87" s="30">
        <v>1097</v>
      </c>
    </row>
    <row r="88" spans="1:52" ht="15" customHeight="1">
      <c r="A88" s="44">
        <f>IF(AND(B88&lt;&gt;"",J88&lt;&gt;"DQ"),COUNT(J$6:J$305)-(RANK(J88,J$6:J$305)+COUNTIF(J$6:J88,J88))+2,IF(C86&lt;&gt;"",AZ88,""))</f>
      </c>
      <c r="B88" s="33">
        <f>IF(ISERROR(VLOOKUP(C86,'START LİSTE'!$B$6:$G$1006,3,0)),"",VLOOKUP(C86,'START LİSTE'!$B$6:$G$1006,3,0))</f>
      </c>
      <c r="C88" s="34"/>
      <c r="D88" s="35">
        <f>IF(ISERROR(VLOOKUP($C88,'START LİSTE'!$B$6:$G$1006,2,0)),"",VLOOKUP($C88,'START LİSTE'!$B$6:$G$1006,2,0))</f>
      </c>
      <c r="E88" s="36">
        <f>IF(ISERROR(VLOOKUP($C88,'START LİSTE'!$B$6:$G$1006,4,0)),"",VLOOKUP($C88,'START LİSTE'!$B$6:$G$1006,4,0))</f>
      </c>
      <c r="F88" s="131">
        <f>IF(ISERROR(VLOOKUP($C88,'FERDİ SONUÇ'!$B$6:$H$819,6,0)),"",VLOOKUP($C88,'FERDİ SONUÇ'!$B$6:$H$819,6,0))</f>
      </c>
      <c r="G88" s="36" t="str">
        <f>IF(OR(E88="",F88="DQ",F88="DNF",F88="DNS",F88=""),"-",VLOOKUP(C88,'FERDİ SONUÇ'!$B$6:$H$819,7,0))</f>
        <v>-</v>
      </c>
      <c r="H88" s="36" t="str">
        <f>IF(OR(E88="",E88="F",F88="DQ",F88="DNF",F88="DNS",F88=""),"-",VLOOKUP(C88,'FERDİ SONUÇ'!$B$6:$H$819,7,0))</f>
        <v>-</v>
      </c>
      <c r="I88" s="38" t="str">
        <f>IF(ISERROR(SMALL(H86:H90,3)),"-",SMALL(H86:H90,3))</f>
        <v>-</v>
      </c>
      <c r="J88" s="43">
        <f>IF(C86="","",IF(OR(I86="-",I87="-",I88="-",I89="-"),"DQ",SUM(I86,I87,I88,I89)))</f>
      </c>
      <c r="AZ88" s="30">
        <v>1098</v>
      </c>
    </row>
    <row r="89" spans="1:52" ht="15" customHeight="1">
      <c r="A89" s="31"/>
      <c r="B89" s="33"/>
      <c r="C89" s="34"/>
      <c r="D89" s="35">
        <f>IF(ISERROR(VLOOKUP($C89,'START LİSTE'!$B$6:$G$1006,2,0)),"",VLOOKUP($C89,'START LİSTE'!$B$6:$G$1006,2,0))</f>
      </c>
      <c r="E89" s="36">
        <f>IF(ISERROR(VLOOKUP($C89,'START LİSTE'!$B$6:$G$1006,4,0)),"",VLOOKUP($C89,'START LİSTE'!$B$6:$G$1006,4,0))</f>
      </c>
      <c r="F89" s="131">
        <f>IF(ISERROR(VLOOKUP($C89,'FERDİ SONUÇ'!$B$6:$H$819,6,0)),"",VLOOKUP($C89,'FERDİ SONUÇ'!$B$6:$H$819,6,0))</f>
      </c>
      <c r="G89" s="36" t="str">
        <f>IF(OR(E89="",F89="DQ",F89="DNF",F89="DNS",F89=""),"-",VLOOKUP(C89,'FERDİ SONUÇ'!$B$6:$H$819,7,0))</f>
        <v>-</v>
      </c>
      <c r="H89" s="36" t="str">
        <f>IF(OR(E89="",E89="F",F89="DQ",F89="DNF",F89="DNS",F89=""),"-",VLOOKUP(C89,'FERDİ SONUÇ'!$B$6:$H$819,7,0))</f>
        <v>-</v>
      </c>
      <c r="I89" s="38" t="str">
        <f>IF(ISERROR(SMALL(H86:H90,4)),"-",SMALL(H86:H90,4))</f>
        <v>-</v>
      </c>
      <c r="J89" s="32"/>
      <c r="AZ89" s="30">
        <v>1099</v>
      </c>
    </row>
    <row r="90" spans="1:52" ht="15" customHeight="1">
      <c r="A90" s="31"/>
      <c r="B90" s="33"/>
      <c r="C90" s="47"/>
      <c r="D90" s="35">
        <f>IF(ISERROR(VLOOKUP($C90,'START LİSTE'!$B$6:$G$1006,2,0)),"",VLOOKUP($C90,'START LİSTE'!$B$6:$G$1006,2,0))</f>
      </c>
      <c r="E90" s="36">
        <f>IF(ISERROR(VLOOKUP($C90,'START LİSTE'!$B$6:$G$1006,4,0)),"",VLOOKUP($C90,'START LİSTE'!$B$6:$G$1006,4,0))</f>
      </c>
      <c r="F90" s="131">
        <f>IF(ISERROR(VLOOKUP($C90,'FERDİ SONUÇ'!$B$6:$H$819,6,0)),"",VLOOKUP($C90,'FERDİ SONUÇ'!$B$6:$H$819,6,0))</f>
      </c>
      <c r="G90" s="36" t="str">
        <f>IF(OR(E90="",F90="DQ",F90="DNF",F90="DNS",F90=""),"-",VLOOKUP(C90,'FERDİ SONUÇ'!$B$6:$H$819,7,0))</f>
        <v>-</v>
      </c>
      <c r="H90" s="36" t="str">
        <f>IF(OR(E90="",E90="F",F90="DQ",F90="DNF",F90="DNS",F90=""),"-",VLOOKUP(C90,'FERDİ SONUÇ'!$B$6:$H$819,7,0))</f>
        <v>-</v>
      </c>
      <c r="I90" s="38" t="str">
        <f>IF(ISERROR(SMALL(H86:H90,5)),"-",SMALL(H86:H90,5))</f>
        <v>-</v>
      </c>
      <c r="J90" s="32"/>
      <c r="AZ90" s="30">
        <v>1100</v>
      </c>
    </row>
    <row r="91" spans="1:52" ht="15" customHeight="1">
      <c r="A91" s="21"/>
      <c r="B91" s="23"/>
      <c r="C91" s="46"/>
      <c r="D91" s="25">
        <f>IF(ISERROR(VLOOKUP($C91,'START LİSTE'!$B$6:$G$1006,2,0)),"",VLOOKUP($C91,'START LİSTE'!$B$6:$G$1006,2,0))</f>
      </c>
      <c r="E91" s="26">
        <f>IF(ISERROR(VLOOKUP($C91,'START LİSTE'!$B$6:$G$1006,4,0)),"",VLOOKUP($C91,'START LİSTE'!$B$6:$G$1006,4,0))</f>
      </c>
      <c r="F91" s="130">
        <f>IF(ISERROR(VLOOKUP($C91,'FERDİ SONUÇ'!$B$6:$H$819,6,0)),"",VLOOKUP($C91,'FERDİ SONUÇ'!$B$6:$H$819,6,0))</f>
      </c>
      <c r="G91" s="26" t="str">
        <f>IF(OR(E91="",F91="DQ",F91="DNF",F91="DNS",F91=""),"-",VLOOKUP(C91,'FERDİ SONUÇ'!$B$6:$H$819,7,0))</f>
        <v>-</v>
      </c>
      <c r="H91" s="26" t="str">
        <f>IF(OR(E91="",E91="F",F91="DQ",F91="DNF",F91="DNS",F91=""),"-",VLOOKUP(C91,'FERDİ SONUÇ'!$B$6:$H$819,7,0))</f>
        <v>-</v>
      </c>
      <c r="I91" s="28" t="str">
        <f>IF(ISERROR(SMALL(H91:H95,1)),"-",SMALL(H91:H95,1))</f>
        <v>-</v>
      </c>
      <c r="J91" s="22"/>
      <c r="AZ91" s="30">
        <v>1102</v>
      </c>
    </row>
    <row r="92" spans="1:52" ht="15" customHeight="1">
      <c r="A92" s="31"/>
      <c r="B92" s="33"/>
      <c r="C92" s="34"/>
      <c r="D92" s="35">
        <f>IF(ISERROR(VLOOKUP($C92,'START LİSTE'!$B$6:$G$1006,2,0)),"",VLOOKUP($C92,'START LİSTE'!$B$6:$G$1006,2,0))</f>
      </c>
      <c r="E92" s="36">
        <f>IF(ISERROR(VLOOKUP($C92,'START LİSTE'!$B$6:$G$1006,4,0)),"",VLOOKUP($C92,'START LİSTE'!$B$6:$G$1006,4,0))</f>
      </c>
      <c r="F92" s="131">
        <f>IF(ISERROR(VLOOKUP($C92,'FERDİ SONUÇ'!$B$6:$H$819,6,0)),"",VLOOKUP($C92,'FERDİ SONUÇ'!$B$6:$H$819,6,0))</f>
      </c>
      <c r="G92" s="36" t="str">
        <f>IF(OR(E92="",F92="DQ",F92="DNF",F92="DNS",F92=""),"-",VLOOKUP(C92,'FERDİ SONUÇ'!$B$6:$H$819,7,0))</f>
        <v>-</v>
      </c>
      <c r="H92" s="36" t="str">
        <f>IF(OR(E92="",E92="F",F92="DQ",F92="DNF",F92="DNS",F92=""),"-",VLOOKUP(C92,'FERDİ SONUÇ'!$B$6:$H$819,7,0))</f>
        <v>-</v>
      </c>
      <c r="I92" s="38" t="str">
        <f>IF(ISERROR(SMALL(H91:H95,2)),"-",SMALL(H91:H95,2))</f>
        <v>-</v>
      </c>
      <c r="J92" s="32"/>
      <c r="AZ92" s="30">
        <v>1103</v>
      </c>
    </row>
    <row r="93" spans="1:52" ht="15" customHeight="1">
      <c r="A93" s="44">
        <f>IF(AND(B93&lt;&gt;"",J93&lt;&gt;"DQ"),COUNT(J$6:J$305)-(RANK(J93,J$6:J$305)+COUNTIF(J$6:J93,J93))+2,IF(C91&lt;&gt;"",AZ93,""))</f>
      </c>
      <c r="B93" s="33">
        <f>IF(ISERROR(VLOOKUP(C91,'START LİSTE'!$B$6:$G$1006,3,0)),"",VLOOKUP(C91,'START LİSTE'!$B$6:$G$1006,3,0))</f>
      </c>
      <c r="C93" s="34"/>
      <c r="D93" s="35">
        <f>IF(ISERROR(VLOOKUP($C93,'START LİSTE'!$B$6:$G$1006,2,0)),"",VLOOKUP($C93,'START LİSTE'!$B$6:$G$1006,2,0))</f>
      </c>
      <c r="E93" s="36">
        <f>IF(ISERROR(VLOOKUP($C93,'START LİSTE'!$B$6:$G$1006,4,0)),"",VLOOKUP($C93,'START LİSTE'!$B$6:$G$1006,4,0))</f>
      </c>
      <c r="F93" s="131">
        <f>IF(ISERROR(VLOOKUP($C93,'FERDİ SONUÇ'!$B$6:$H$819,6,0)),"",VLOOKUP($C93,'FERDİ SONUÇ'!$B$6:$H$819,6,0))</f>
      </c>
      <c r="G93" s="36" t="str">
        <f>IF(OR(E93="",F93="DQ",F93="DNF",F93="DNS",F93=""),"-",VLOOKUP(C93,'FERDİ SONUÇ'!$B$6:$H$819,7,0))</f>
        <v>-</v>
      </c>
      <c r="H93" s="36" t="str">
        <f>IF(OR(E93="",E93="F",F93="DQ",F93="DNF",F93="DNS",F93=""),"-",VLOOKUP(C93,'FERDİ SONUÇ'!$B$6:$H$819,7,0))</f>
        <v>-</v>
      </c>
      <c r="I93" s="38" t="str">
        <f>IF(ISERROR(SMALL(H91:H95,3)),"-",SMALL(H91:H95,3))</f>
        <v>-</v>
      </c>
      <c r="J93" s="43">
        <f>IF(C91="","",IF(OR(I91="-",I92="-",I93="-",I94="-"),"DQ",SUM(I91,I92,I93,I94)))</f>
      </c>
      <c r="AZ93" s="30">
        <v>1104</v>
      </c>
    </row>
    <row r="94" spans="1:52" ht="15" customHeight="1">
      <c r="A94" s="31"/>
      <c r="B94" s="33"/>
      <c r="C94" s="34"/>
      <c r="D94" s="35">
        <f>IF(ISERROR(VLOOKUP($C94,'START LİSTE'!$B$6:$G$1006,2,0)),"",VLOOKUP($C94,'START LİSTE'!$B$6:$G$1006,2,0))</f>
      </c>
      <c r="E94" s="36">
        <f>IF(ISERROR(VLOOKUP($C94,'START LİSTE'!$B$6:$G$1006,4,0)),"",VLOOKUP($C94,'START LİSTE'!$B$6:$G$1006,4,0))</f>
      </c>
      <c r="F94" s="131">
        <f>IF(ISERROR(VLOOKUP($C94,'FERDİ SONUÇ'!$B$6:$H$819,6,0)),"",VLOOKUP($C94,'FERDİ SONUÇ'!$B$6:$H$819,6,0))</f>
      </c>
      <c r="G94" s="36" t="str">
        <f>IF(OR(E94="",F94="DQ",F94="DNF",F94="DNS",F94=""),"-",VLOOKUP(C94,'FERDİ SONUÇ'!$B$6:$H$819,7,0))</f>
        <v>-</v>
      </c>
      <c r="H94" s="36" t="str">
        <f>IF(OR(E94="",E94="F",F94="DQ",F94="DNF",F94="DNS",F94=""),"-",VLOOKUP(C94,'FERDİ SONUÇ'!$B$6:$H$819,7,0))</f>
        <v>-</v>
      </c>
      <c r="I94" s="38" t="str">
        <f>IF(ISERROR(SMALL(H91:H95,4)),"-",SMALL(H91:H95,4))</f>
        <v>-</v>
      </c>
      <c r="J94" s="32"/>
      <c r="AZ94" s="30">
        <v>1105</v>
      </c>
    </row>
    <row r="95" spans="1:52" ht="15" customHeight="1">
      <c r="A95" s="31"/>
      <c r="B95" s="33"/>
      <c r="C95" s="47"/>
      <c r="D95" s="35">
        <f>IF(ISERROR(VLOOKUP($C95,'START LİSTE'!$B$6:$G$1006,2,0)),"",VLOOKUP($C95,'START LİSTE'!$B$6:$G$1006,2,0))</f>
      </c>
      <c r="E95" s="36">
        <f>IF(ISERROR(VLOOKUP($C95,'START LİSTE'!$B$6:$G$1006,4,0)),"",VLOOKUP($C95,'START LİSTE'!$B$6:$G$1006,4,0))</f>
      </c>
      <c r="F95" s="131">
        <f>IF(ISERROR(VLOOKUP($C95,'FERDİ SONUÇ'!$B$6:$H$819,6,0)),"",VLOOKUP($C95,'FERDİ SONUÇ'!$B$6:$H$819,6,0))</f>
      </c>
      <c r="G95" s="36" t="str">
        <f>IF(OR(E95="",F95="DQ",F95="DNF",F95="DNS",F95=""),"-",VLOOKUP(C95,'FERDİ SONUÇ'!$B$6:$H$819,7,0))</f>
        <v>-</v>
      </c>
      <c r="H95" s="36" t="str">
        <f>IF(OR(E95="",E95="F",F95="DQ",F95="DNF",F95="DNS",F95=""),"-",VLOOKUP(C95,'FERDİ SONUÇ'!$B$6:$H$819,7,0))</f>
        <v>-</v>
      </c>
      <c r="I95" s="38" t="str">
        <f>IF(ISERROR(SMALL(H91:H95,5)),"-",SMALL(H91:H95,5))</f>
        <v>-</v>
      </c>
      <c r="J95" s="32"/>
      <c r="AZ95" s="30">
        <v>1106</v>
      </c>
    </row>
    <row r="96" spans="1:52" ht="15" customHeight="1">
      <c r="A96" s="21"/>
      <c r="B96" s="23"/>
      <c r="C96" s="46"/>
      <c r="D96" s="25">
        <f>IF(ISERROR(VLOOKUP($C96,'START LİSTE'!$B$6:$G$1006,2,0)),"",VLOOKUP($C96,'START LİSTE'!$B$6:$G$1006,2,0))</f>
      </c>
      <c r="E96" s="26">
        <f>IF(ISERROR(VLOOKUP($C96,'START LİSTE'!$B$6:$G$1006,4,0)),"",VLOOKUP($C96,'START LİSTE'!$B$6:$G$1006,4,0))</f>
      </c>
      <c r="F96" s="130">
        <f>IF(ISERROR(VLOOKUP($C96,'FERDİ SONUÇ'!$B$6:$H$819,6,0)),"",VLOOKUP($C96,'FERDİ SONUÇ'!$B$6:$H$819,6,0))</f>
      </c>
      <c r="G96" s="26" t="str">
        <f>IF(OR(E96="",F96="DQ",F96="DNF",F96="DNS",F96=""),"-",VLOOKUP(C96,'FERDİ SONUÇ'!$B$6:$H$819,7,0))</f>
        <v>-</v>
      </c>
      <c r="H96" s="26" t="str">
        <f>IF(OR(E96="",E96="F",F96="DQ",F96="DNF",F96="DNS",F96=""),"-",VLOOKUP(C96,'FERDİ SONUÇ'!$B$6:$H$819,7,0))</f>
        <v>-</v>
      </c>
      <c r="I96" s="28" t="str">
        <f>IF(ISERROR(SMALL(H96:H100,1)),"-",SMALL(H96:H100,1))</f>
        <v>-</v>
      </c>
      <c r="J96" s="22"/>
      <c r="AZ96" s="30">
        <v>1108</v>
      </c>
    </row>
    <row r="97" spans="1:52" ht="15" customHeight="1">
      <c r="A97" s="31"/>
      <c r="B97" s="33"/>
      <c r="C97" s="34"/>
      <c r="D97" s="35">
        <f>IF(ISERROR(VLOOKUP($C97,'START LİSTE'!$B$6:$G$1006,2,0)),"",VLOOKUP($C97,'START LİSTE'!$B$6:$G$1006,2,0))</f>
      </c>
      <c r="E97" s="36">
        <f>IF(ISERROR(VLOOKUP($C97,'START LİSTE'!$B$6:$G$1006,4,0)),"",VLOOKUP($C97,'START LİSTE'!$B$6:$G$1006,4,0))</f>
      </c>
      <c r="F97" s="131">
        <f>IF(ISERROR(VLOOKUP($C97,'FERDİ SONUÇ'!$B$6:$H$819,6,0)),"",VLOOKUP($C97,'FERDİ SONUÇ'!$B$6:$H$819,6,0))</f>
      </c>
      <c r="G97" s="36" t="str">
        <f>IF(OR(E97="",F97="DQ",F97="DNF",F97="DNS",F97=""),"-",VLOOKUP(C97,'FERDİ SONUÇ'!$B$6:$H$819,7,0))</f>
        <v>-</v>
      </c>
      <c r="H97" s="36" t="str">
        <f>IF(OR(E97="",E97="F",F97="DQ",F97="DNF",F97="DNS",F97=""),"-",VLOOKUP(C97,'FERDİ SONUÇ'!$B$6:$H$819,7,0))</f>
        <v>-</v>
      </c>
      <c r="I97" s="38" t="str">
        <f>IF(ISERROR(SMALL(H96:H100,2)),"-",SMALL(H96:H100,2))</f>
        <v>-</v>
      </c>
      <c r="J97" s="32"/>
      <c r="AZ97" s="30">
        <v>1109</v>
      </c>
    </row>
    <row r="98" spans="1:52" ht="15" customHeight="1">
      <c r="A98" s="44">
        <f>IF(AND(B98&lt;&gt;"",J98&lt;&gt;"DQ"),COUNT(J$6:J$305)-(RANK(J98,J$6:J$305)+COUNTIF(J$6:J98,J98))+2,IF(C96&lt;&gt;"",AZ98,""))</f>
      </c>
      <c r="B98" s="33">
        <f>IF(ISERROR(VLOOKUP(C96,'START LİSTE'!$B$6:$G$1006,3,0)),"",VLOOKUP(C96,'START LİSTE'!$B$6:$G$1006,3,0))</f>
      </c>
      <c r="C98" s="34"/>
      <c r="D98" s="35">
        <f>IF(ISERROR(VLOOKUP($C98,'START LİSTE'!$B$6:$G$1006,2,0)),"",VLOOKUP($C98,'START LİSTE'!$B$6:$G$1006,2,0))</f>
      </c>
      <c r="E98" s="36">
        <f>IF(ISERROR(VLOOKUP($C98,'START LİSTE'!$B$6:$G$1006,4,0)),"",VLOOKUP($C98,'START LİSTE'!$B$6:$G$1006,4,0))</f>
      </c>
      <c r="F98" s="131">
        <f>IF(ISERROR(VLOOKUP($C98,'FERDİ SONUÇ'!$B$6:$H$819,6,0)),"",VLOOKUP($C98,'FERDİ SONUÇ'!$B$6:$H$819,6,0))</f>
      </c>
      <c r="G98" s="36" t="str">
        <f>IF(OR(E98="",F98="DQ",F98="DNF",F98="DNS",F98=""),"-",VLOOKUP(C98,'FERDİ SONUÇ'!$B$6:$H$819,7,0))</f>
        <v>-</v>
      </c>
      <c r="H98" s="36" t="str">
        <f>IF(OR(E98="",E98="F",F98="DQ",F98="DNF",F98="DNS",F98=""),"-",VLOOKUP(C98,'FERDİ SONUÇ'!$B$6:$H$819,7,0))</f>
        <v>-</v>
      </c>
      <c r="I98" s="38" t="str">
        <f>IF(ISERROR(SMALL(H96:H100,3)),"-",SMALL(H96:H100,3))</f>
        <v>-</v>
      </c>
      <c r="J98" s="43">
        <f>IF(C96="","",IF(OR(I96="-",I97="-",I98="-",I99="-"),"DQ",SUM(I96,I97,I98,I99)))</f>
      </c>
      <c r="AZ98" s="30">
        <v>1110</v>
      </c>
    </row>
    <row r="99" spans="1:52" ht="15" customHeight="1">
      <c r="A99" s="31"/>
      <c r="B99" s="33"/>
      <c r="C99" s="34"/>
      <c r="D99" s="35">
        <f>IF(ISERROR(VLOOKUP($C99,'START LİSTE'!$B$6:$G$1006,2,0)),"",VLOOKUP($C99,'START LİSTE'!$B$6:$G$1006,2,0))</f>
      </c>
      <c r="E99" s="36">
        <f>IF(ISERROR(VLOOKUP($C99,'START LİSTE'!$B$6:$G$1006,4,0)),"",VLOOKUP($C99,'START LİSTE'!$B$6:$G$1006,4,0))</f>
      </c>
      <c r="F99" s="131">
        <f>IF(ISERROR(VLOOKUP($C99,'FERDİ SONUÇ'!$B$6:$H$819,6,0)),"",VLOOKUP($C99,'FERDİ SONUÇ'!$B$6:$H$819,6,0))</f>
      </c>
      <c r="G99" s="36" t="str">
        <f>IF(OR(E99="",F99="DQ",F99="DNF",F99="DNS",F99=""),"-",VLOOKUP(C99,'FERDİ SONUÇ'!$B$6:$H$819,7,0))</f>
        <v>-</v>
      </c>
      <c r="H99" s="36" t="str">
        <f>IF(OR(E99="",E99="F",F99="DQ",F99="DNF",F99="DNS",F99=""),"-",VLOOKUP(C99,'FERDİ SONUÇ'!$B$6:$H$819,7,0))</f>
        <v>-</v>
      </c>
      <c r="I99" s="38" t="str">
        <f>IF(ISERROR(SMALL(H96:H100,4)),"-",SMALL(H96:H100,4))</f>
        <v>-</v>
      </c>
      <c r="J99" s="32"/>
      <c r="AZ99" s="30">
        <v>1111</v>
      </c>
    </row>
    <row r="100" spans="1:52" ht="15" customHeight="1">
      <c r="A100" s="31"/>
      <c r="B100" s="33"/>
      <c r="C100" s="47"/>
      <c r="D100" s="35">
        <f>IF(ISERROR(VLOOKUP($C100,'START LİSTE'!$B$6:$G$1006,2,0)),"",VLOOKUP($C100,'START LİSTE'!$B$6:$G$1006,2,0))</f>
      </c>
      <c r="E100" s="36">
        <f>IF(ISERROR(VLOOKUP($C100,'START LİSTE'!$B$6:$G$1006,4,0)),"",VLOOKUP($C100,'START LİSTE'!$B$6:$G$1006,4,0))</f>
      </c>
      <c r="F100" s="131">
        <f>IF(ISERROR(VLOOKUP($C100,'FERDİ SONUÇ'!$B$6:$H$819,6,0)),"",VLOOKUP($C100,'FERDİ SONUÇ'!$B$6:$H$819,6,0))</f>
      </c>
      <c r="G100" s="36" t="str">
        <f>IF(OR(E100="",F100="DQ",F100="DNF",F100="DNS",F100=""),"-",VLOOKUP(C100,'FERDİ SONUÇ'!$B$6:$H$819,7,0))</f>
        <v>-</v>
      </c>
      <c r="H100" s="36" t="str">
        <f>IF(OR(E100="",E100="F",F100="DQ",F100="DNF",F100="DNS",F100=""),"-",VLOOKUP(C100,'FERDİ SONUÇ'!$B$6:$H$819,7,0))</f>
        <v>-</v>
      </c>
      <c r="I100" s="38" t="str">
        <f>IF(ISERROR(SMALL(H96:H100,5)),"-",SMALL(H96:H100,5))</f>
        <v>-</v>
      </c>
      <c r="J100" s="32"/>
      <c r="AZ100" s="30">
        <v>1112</v>
      </c>
    </row>
    <row r="101" spans="1:52" ht="15" customHeight="1">
      <c r="A101" s="21"/>
      <c r="B101" s="23"/>
      <c r="C101" s="46"/>
      <c r="D101" s="25">
        <f>IF(ISERROR(VLOOKUP($C101,'START LİSTE'!$B$6:$G$1006,2,0)),"",VLOOKUP($C101,'START LİSTE'!$B$6:$G$1006,2,0))</f>
      </c>
      <c r="E101" s="26">
        <f>IF(ISERROR(VLOOKUP($C101,'START LİSTE'!$B$6:$G$1006,4,0)),"",VLOOKUP($C101,'START LİSTE'!$B$6:$G$1006,4,0))</f>
      </c>
      <c r="F101" s="130">
        <f>IF(ISERROR(VLOOKUP($C101,'FERDİ SONUÇ'!$B$6:$H$819,6,0)),"",VLOOKUP($C101,'FERDİ SONUÇ'!$B$6:$H$819,6,0))</f>
      </c>
      <c r="G101" s="26" t="str">
        <f>IF(OR(E101="",F101="DQ",F101="DNF",F101="DNS",F101=""),"-",VLOOKUP(C101,'FERDİ SONUÇ'!$B$6:$H$819,7,0))</f>
        <v>-</v>
      </c>
      <c r="H101" s="26" t="str">
        <f>IF(OR(E101="",E101="F",F101="DQ",F101="DNF",F101="DNS",F101=""),"-",VLOOKUP(C101,'FERDİ SONUÇ'!$B$6:$H$819,7,0))</f>
        <v>-</v>
      </c>
      <c r="I101" s="28" t="str">
        <f>IF(ISERROR(SMALL(H101:H105,1)),"-",SMALL(H101:H105,1))</f>
        <v>-</v>
      </c>
      <c r="J101" s="22"/>
      <c r="AZ101" s="30">
        <v>1114</v>
      </c>
    </row>
    <row r="102" spans="1:52" ht="15" customHeight="1">
      <c r="A102" s="31"/>
      <c r="B102" s="33"/>
      <c r="C102" s="34"/>
      <c r="D102" s="35">
        <f>IF(ISERROR(VLOOKUP($C102,'START LİSTE'!$B$6:$G$1006,2,0)),"",VLOOKUP($C102,'START LİSTE'!$B$6:$G$1006,2,0))</f>
      </c>
      <c r="E102" s="36">
        <f>IF(ISERROR(VLOOKUP($C102,'START LİSTE'!$B$6:$G$1006,4,0)),"",VLOOKUP($C102,'START LİSTE'!$B$6:$G$1006,4,0))</f>
      </c>
      <c r="F102" s="131">
        <f>IF(ISERROR(VLOOKUP($C102,'FERDİ SONUÇ'!$B$6:$H$819,6,0)),"",VLOOKUP($C102,'FERDİ SONUÇ'!$B$6:$H$819,6,0))</f>
      </c>
      <c r="G102" s="36" t="str">
        <f>IF(OR(E102="",F102="DQ",F102="DNF",F102="DNS",F102=""),"-",VLOOKUP(C102,'FERDİ SONUÇ'!$B$6:$H$819,7,0))</f>
        <v>-</v>
      </c>
      <c r="H102" s="36" t="str">
        <f>IF(OR(E102="",E102="F",F102="DQ",F102="DNF",F102="DNS",F102=""),"-",VLOOKUP(C102,'FERDİ SONUÇ'!$B$6:$H$819,7,0))</f>
        <v>-</v>
      </c>
      <c r="I102" s="38" t="str">
        <f>IF(ISERROR(SMALL(H101:H105,2)),"-",SMALL(H101:H105,2))</f>
        <v>-</v>
      </c>
      <c r="J102" s="32"/>
      <c r="AZ102" s="30">
        <v>1115</v>
      </c>
    </row>
    <row r="103" spans="1:52" ht="15" customHeight="1">
      <c r="A103" s="44">
        <f>IF(AND(B103&lt;&gt;"",J103&lt;&gt;"DQ"),COUNT(J$6:J$305)-(RANK(J103,J$6:J$305)+COUNTIF(J$6:J103,J103))+2,IF(C101&lt;&gt;"",AZ103,""))</f>
      </c>
      <c r="B103" s="33">
        <f>IF(ISERROR(VLOOKUP(C101,'START LİSTE'!$B$6:$G$1006,3,0)),"",VLOOKUP(C101,'START LİSTE'!$B$6:$G$1006,3,0))</f>
      </c>
      <c r="C103" s="34"/>
      <c r="D103" s="35">
        <f>IF(ISERROR(VLOOKUP($C103,'START LİSTE'!$B$6:$G$1006,2,0)),"",VLOOKUP($C103,'START LİSTE'!$B$6:$G$1006,2,0))</f>
      </c>
      <c r="E103" s="36">
        <f>IF(ISERROR(VLOOKUP($C103,'START LİSTE'!$B$6:$G$1006,4,0)),"",VLOOKUP($C103,'START LİSTE'!$B$6:$G$1006,4,0))</f>
      </c>
      <c r="F103" s="131">
        <f>IF(ISERROR(VLOOKUP($C103,'FERDİ SONUÇ'!$B$6:$H$819,6,0)),"",VLOOKUP($C103,'FERDİ SONUÇ'!$B$6:$H$819,6,0))</f>
      </c>
      <c r="G103" s="36" t="str">
        <f>IF(OR(E103="",F103="DQ",F103="DNF",F103="DNS",F103=""),"-",VLOOKUP(C103,'FERDİ SONUÇ'!$B$6:$H$819,7,0))</f>
        <v>-</v>
      </c>
      <c r="H103" s="36" t="str">
        <f>IF(OR(E103="",E103="F",F103="DQ",F103="DNF",F103="DNS",F103=""),"-",VLOOKUP(C103,'FERDİ SONUÇ'!$B$6:$H$819,7,0))</f>
        <v>-</v>
      </c>
      <c r="I103" s="38" t="str">
        <f>IF(ISERROR(SMALL(H101:H105,3)),"-",SMALL(H101:H105,3))</f>
        <v>-</v>
      </c>
      <c r="J103" s="43">
        <f>IF(C101="","",IF(OR(I101="-",I102="-",I103="-",I104="-"),"DQ",SUM(I101,I102,I103,I104)))</f>
      </c>
      <c r="AZ103" s="30">
        <v>1116</v>
      </c>
    </row>
    <row r="104" spans="1:52" ht="15" customHeight="1">
      <c r="A104" s="31"/>
      <c r="B104" s="33"/>
      <c r="C104" s="34"/>
      <c r="D104" s="35">
        <f>IF(ISERROR(VLOOKUP($C104,'START LİSTE'!$B$6:$G$1006,2,0)),"",VLOOKUP($C104,'START LİSTE'!$B$6:$G$1006,2,0))</f>
      </c>
      <c r="E104" s="36">
        <f>IF(ISERROR(VLOOKUP($C104,'START LİSTE'!$B$6:$G$1006,4,0)),"",VLOOKUP($C104,'START LİSTE'!$B$6:$G$1006,4,0))</f>
      </c>
      <c r="F104" s="131">
        <f>IF(ISERROR(VLOOKUP($C104,'FERDİ SONUÇ'!$B$6:$H$819,6,0)),"",VLOOKUP($C104,'FERDİ SONUÇ'!$B$6:$H$819,6,0))</f>
      </c>
      <c r="G104" s="36" t="str">
        <f>IF(OR(E104="",F104="DQ",F104="DNF",F104="DNS",F104=""),"-",VLOOKUP(C104,'FERDİ SONUÇ'!$B$6:$H$819,7,0))</f>
        <v>-</v>
      </c>
      <c r="H104" s="36" t="str">
        <f>IF(OR(E104="",E104="F",F104="DQ",F104="DNF",F104="DNS",F104=""),"-",VLOOKUP(C104,'FERDİ SONUÇ'!$B$6:$H$819,7,0))</f>
        <v>-</v>
      </c>
      <c r="I104" s="38" t="str">
        <f>IF(ISERROR(SMALL(H101:H105,4)),"-",SMALL(H101:H105,4))</f>
        <v>-</v>
      </c>
      <c r="J104" s="32"/>
      <c r="AZ104" s="30">
        <v>1117</v>
      </c>
    </row>
    <row r="105" spans="1:52" ht="15" customHeight="1">
      <c r="A105" s="31"/>
      <c r="B105" s="33"/>
      <c r="C105" s="47"/>
      <c r="D105" s="35">
        <f>IF(ISERROR(VLOOKUP($C105,'START LİSTE'!$B$6:$G$1006,2,0)),"",VLOOKUP($C105,'START LİSTE'!$B$6:$G$1006,2,0))</f>
      </c>
      <c r="E105" s="36">
        <f>IF(ISERROR(VLOOKUP($C105,'START LİSTE'!$B$6:$G$1006,4,0)),"",VLOOKUP($C105,'START LİSTE'!$B$6:$G$1006,4,0))</f>
      </c>
      <c r="F105" s="131">
        <f>IF(ISERROR(VLOOKUP($C105,'FERDİ SONUÇ'!$B$6:$H$819,6,0)),"",VLOOKUP($C105,'FERDİ SONUÇ'!$B$6:$H$819,6,0))</f>
      </c>
      <c r="G105" s="36" t="str">
        <f>IF(OR(E105="",F105="DQ",F105="DNF",F105="DNS",F105=""),"-",VLOOKUP(C105,'FERDİ SONUÇ'!$B$6:$H$819,7,0))</f>
        <v>-</v>
      </c>
      <c r="H105" s="36" t="str">
        <f>IF(OR(E105="",E105="F",F105="DQ",F105="DNF",F105="DNS",F105=""),"-",VLOOKUP(C105,'FERDİ SONUÇ'!$B$6:$H$819,7,0))</f>
        <v>-</v>
      </c>
      <c r="I105" s="38" t="str">
        <f>IF(ISERROR(SMALL(H101:H105,5)),"-",SMALL(H101:H105,5))</f>
        <v>-</v>
      </c>
      <c r="J105" s="32"/>
      <c r="AZ105" s="30">
        <v>1118</v>
      </c>
    </row>
    <row r="106" spans="1:52" ht="15" customHeight="1">
      <c r="A106" s="21"/>
      <c r="B106" s="23"/>
      <c r="C106" s="46"/>
      <c r="D106" s="25">
        <f>IF(ISERROR(VLOOKUP($C106,'START LİSTE'!$B$6:$G$1006,2,0)),"",VLOOKUP($C106,'START LİSTE'!$B$6:$G$1006,2,0))</f>
      </c>
      <c r="E106" s="26">
        <f>IF(ISERROR(VLOOKUP($C106,'START LİSTE'!$B$6:$G$1006,4,0)),"",VLOOKUP($C106,'START LİSTE'!$B$6:$G$1006,4,0))</f>
      </c>
      <c r="F106" s="130">
        <f>IF(ISERROR(VLOOKUP($C106,'FERDİ SONUÇ'!$B$6:$H$819,6,0)),"",VLOOKUP($C106,'FERDİ SONUÇ'!$B$6:$H$819,6,0))</f>
      </c>
      <c r="G106" s="26" t="str">
        <f>IF(OR(E106="",F106="DQ",F106="DNF",F106="DNS",F106=""),"-",VLOOKUP(C106,'FERDİ SONUÇ'!$B$6:$H$819,7,0))</f>
        <v>-</v>
      </c>
      <c r="H106" s="26" t="str">
        <f>IF(OR(E106="",E106="F",F106="DQ",F106="DNF",F106="DNS",F106=""),"-",VLOOKUP(C106,'FERDİ SONUÇ'!$B$6:$H$819,7,0))</f>
        <v>-</v>
      </c>
      <c r="I106" s="28" t="str">
        <f>IF(ISERROR(SMALL(H106:H110,1)),"-",SMALL(H106:H110,1))</f>
        <v>-</v>
      </c>
      <c r="J106" s="22"/>
      <c r="AZ106" s="30">
        <v>1120</v>
      </c>
    </row>
    <row r="107" spans="1:52" ht="15" customHeight="1">
      <c r="A107" s="31"/>
      <c r="B107" s="33"/>
      <c r="C107" s="34"/>
      <c r="D107" s="35">
        <f>IF(ISERROR(VLOOKUP($C107,'START LİSTE'!$B$6:$G$1006,2,0)),"",VLOOKUP($C107,'START LİSTE'!$B$6:$G$1006,2,0))</f>
      </c>
      <c r="E107" s="36">
        <f>IF(ISERROR(VLOOKUP($C107,'START LİSTE'!$B$6:$G$1006,4,0)),"",VLOOKUP($C107,'START LİSTE'!$B$6:$G$1006,4,0))</f>
      </c>
      <c r="F107" s="131">
        <f>IF(ISERROR(VLOOKUP($C107,'FERDİ SONUÇ'!$B$6:$H$819,6,0)),"",VLOOKUP($C107,'FERDİ SONUÇ'!$B$6:$H$819,6,0))</f>
      </c>
      <c r="G107" s="36" t="str">
        <f>IF(OR(E107="",F107="DQ",F107="DNF",F107="DNS",F107=""),"-",VLOOKUP(C107,'FERDİ SONUÇ'!$B$6:$H$819,7,0))</f>
        <v>-</v>
      </c>
      <c r="H107" s="36" t="str">
        <f>IF(OR(E107="",E107="F",F107="DQ",F107="DNF",F107="DNS",F107=""),"-",VLOOKUP(C107,'FERDİ SONUÇ'!$B$6:$H$819,7,0))</f>
        <v>-</v>
      </c>
      <c r="I107" s="38" t="str">
        <f>IF(ISERROR(SMALL(H106:H110,2)),"-",SMALL(H106:H110,2))</f>
        <v>-</v>
      </c>
      <c r="J107" s="32"/>
      <c r="AZ107" s="30">
        <v>1121</v>
      </c>
    </row>
    <row r="108" spans="1:52" ht="15" customHeight="1">
      <c r="A108" s="44">
        <f>IF(AND(B108&lt;&gt;"",J108&lt;&gt;"DQ"),COUNT(J$6:J$305)-(RANK(J108,J$6:J$305)+COUNTIF(J$6:J108,J108))+2,IF(C106&lt;&gt;"",AZ108,""))</f>
      </c>
      <c r="B108" s="33">
        <f>IF(ISERROR(VLOOKUP(C106,'START LİSTE'!$B$6:$G$1006,3,0)),"",VLOOKUP(C106,'START LİSTE'!$B$6:$G$1006,3,0))</f>
      </c>
      <c r="C108" s="34"/>
      <c r="D108" s="35">
        <f>IF(ISERROR(VLOOKUP($C108,'START LİSTE'!$B$6:$G$1006,2,0)),"",VLOOKUP($C108,'START LİSTE'!$B$6:$G$1006,2,0))</f>
      </c>
      <c r="E108" s="36">
        <f>IF(ISERROR(VLOOKUP($C108,'START LİSTE'!$B$6:$G$1006,4,0)),"",VLOOKUP($C108,'START LİSTE'!$B$6:$G$1006,4,0))</f>
      </c>
      <c r="F108" s="131">
        <f>IF(ISERROR(VLOOKUP($C108,'FERDİ SONUÇ'!$B$6:$H$819,6,0)),"",VLOOKUP($C108,'FERDİ SONUÇ'!$B$6:$H$819,6,0))</f>
      </c>
      <c r="G108" s="36" t="str">
        <f>IF(OR(E108="",F108="DQ",F108="DNF",F108="DNS",F108=""),"-",VLOOKUP(C108,'FERDİ SONUÇ'!$B$6:$H$819,7,0))</f>
        <v>-</v>
      </c>
      <c r="H108" s="36" t="str">
        <f>IF(OR(E108="",E108="F",F108="DQ",F108="DNF",F108="DNS",F108=""),"-",VLOOKUP(C108,'FERDİ SONUÇ'!$B$6:$H$819,7,0))</f>
        <v>-</v>
      </c>
      <c r="I108" s="38" t="str">
        <f>IF(ISERROR(SMALL(H106:H110,3)),"-",SMALL(H106:H110,3))</f>
        <v>-</v>
      </c>
      <c r="J108" s="43">
        <f>IF(C106="","",IF(OR(I106="-",I107="-",I108="-",I109="-"),"DQ",SUM(I106,I107,I108,I109)))</f>
      </c>
      <c r="AZ108" s="30">
        <v>1122</v>
      </c>
    </row>
    <row r="109" spans="1:52" ht="15" customHeight="1">
      <c r="A109" s="31"/>
      <c r="B109" s="33"/>
      <c r="C109" s="34"/>
      <c r="D109" s="35">
        <f>IF(ISERROR(VLOOKUP($C109,'START LİSTE'!$B$6:$G$1006,2,0)),"",VLOOKUP($C109,'START LİSTE'!$B$6:$G$1006,2,0))</f>
      </c>
      <c r="E109" s="36">
        <f>IF(ISERROR(VLOOKUP($C109,'START LİSTE'!$B$6:$G$1006,4,0)),"",VLOOKUP($C109,'START LİSTE'!$B$6:$G$1006,4,0))</f>
      </c>
      <c r="F109" s="131">
        <f>IF(ISERROR(VLOOKUP($C109,'FERDİ SONUÇ'!$B$6:$H$819,6,0)),"",VLOOKUP($C109,'FERDİ SONUÇ'!$B$6:$H$819,6,0))</f>
      </c>
      <c r="G109" s="36" t="str">
        <f>IF(OR(E109="",F109="DQ",F109="DNF",F109="DNS",F109=""),"-",VLOOKUP(C109,'FERDİ SONUÇ'!$B$6:$H$819,7,0))</f>
        <v>-</v>
      </c>
      <c r="H109" s="36" t="str">
        <f>IF(OR(E109="",E109="F",F109="DQ",F109="DNF",F109="DNS",F109=""),"-",VLOOKUP(C109,'FERDİ SONUÇ'!$B$6:$H$819,7,0))</f>
        <v>-</v>
      </c>
      <c r="I109" s="38" t="str">
        <f>IF(ISERROR(SMALL(H106:H110,4)),"-",SMALL(H106:H110,4))</f>
        <v>-</v>
      </c>
      <c r="J109" s="32"/>
      <c r="AZ109" s="30">
        <v>1123</v>
      </c>
    </row>
    <row r="110" spans="1:52" ht="15" customHeight="1">
      <c r="A110" s="31"/>
      <c r="B110" s="33"/>
      <c r="C110" s="47"/>
      <c r="D110" s="35">
        <f>IF(ISERROR(VLOOKUP($C110,'START LİSTE'!$B$6:$G$1006,2,0)),"",VLOOKUP($C110,'START LİSTE'!$B$6:$G$1006,2,0))</f>
      </c>
      <c r="E110" s="36">
        <f>IF(ISERROR(VLOOKUP($C110,'START LİSTE'!$B$6:$G$1006,4,0)),"",VLOOKUP($C110,'START LİSTE'!$B$6:$G$1006,4,0))</f>
      </c>
      <c r="F110" s="131">
        <f>IF(ISERROR(VLOOKUP($C110,'FERDİ SONUÇ'!$B$6:$H$819,6,0)),"",VLOOKUP($C110,'FERDİ SONUÇ'!$B$6:$H$819,6,0))</f>
      </c>
      <c r="G110" s="36" t="str">
        <f>IF(OR(E110="",F110="DQ",F110="DNF",F110="DNS",F110=""),"-",VLOOKUP(C110,'FERDİ SONUÇ'!$B$6:$H$819,7,0))</f>
        <v>-</v>
      </c>
      <c r="H110" s="36" t="str">
        <f>IF(OR(E110="",E110="F",F110="DQ",F110="DNF",F110="DNS",F110=""),"-",VLOOKUP(C110,'FERDİ SONUÇ'!$B$6:$H$819,7,0))</f>
        <v>-</v>
      </c>
      <c r="I110" s="38" t="str">
        <f>IF(ISERROR(SMALL(H106:H110,5)),"-",SMALL(H106:H110,5))</f>
        <v>-</v>
      </c>
      <c r="J110" s="32"/>
      <c r="AZ110" s="30">
        <v>1124</v>
      </c>
    </row>
    <row r="111" spans="1:52" ht="15" customHeight="1">
      <c r="A111" s="21"/>
      <c r="B111" s="23"/>
      <c r="C111" s="46"/>
      <c r="D111" s="25">
        <f>IF(ISERROR(VLOOKUP($C111,'START LİSTE'!$B$6:$G$1006,2,0)),"",VLOOKUP($C111,'START LİSTE'!$B$6:$G$1006,2,0))</f>
      </c>
      <c r="E111" s="26">
        <f>IF(ISERROR(VLOOKUP($C111,'START LİSTE'!$B$6:$G$1006,4,0)),"",VLOOKUP($C111,'START LİSTE'!$B$6:$G$1006,4,0))</f>
      </c>
      <c r="F111" s="130">
        <f>IF(ISERROR(VLOOKUP($C111,'FERDİ SONUÇ'!$B$6:$H$819,6,0)),"",VLOOKUP($C111,'FERDİ SONUÇ'!$B$6:$H$819,6,0))</f>
      </c>
      <c r="G111" s="26" t="str">
        <f>IF(OR(E111="",F111="DQ",F111="DNF",F111="DNS",F111=""),"-",VLOOKUP(C111,'FERDİ SONUÇ'!$B$6:$H$819,7,0))</f>
        <v>-</v>
      </c>
      <c r="H111" s="26" t="str">
        <f>IF(OR(E111="",E111="F",F111="DQ",F111="DNF",F111="DNS",F111=""),"-",VLOOKUP(C111,'FERDİ SONUÇ'!$B$6:$H$819,7,0))</f>
        <v>-</v>
      </c>
      <c r="I111" s="28" t="str">
        <f>IF(ISERROR(SMALL(H111:H115,1)),"-",SMALL(H111:H115,1))</f>
        <v>-</v>
      </c>
      <c r="J111" s="22"/>
      <c r="AZ111" s="30">
        <v>1126</v>
      </c>
    </row>
    <row r="112" spans="1:52" ht="15" customHeight="1">
      <c r="A112" s="31"/>
      <c r="B112" s="33"/>
      <c r="C112" s="34"/>
      <c r="D112" s="35">
        <f>IF(ISERROR(VLOOKUP($C112,'START LİSTE'!$B$6:$G$1006,2,0)),"",VLOOKUP($C112,'START LİSTE'!$B$6:$G$1006,2,0))</f>
      </c>
      <c r="E112" s="36">
        <f>IF(ISERROR(VLOOKUP($C112,'START LİSTE'!$B$6:$G$1006,4,0)),"",VLOOKUP($C112,'START LİSTE'!$B$6:$G$1006,4,0))</f>
      </c>
      <c r="F112" s="131">
        <f>IF(ISERROR(VLOOKUP($C112,'FERDİ SONUÇ'!$B$6:$H$819,6,0)),"",VLOOKUP($C112,'FERDİ SONUÇ'!$B$6:$H$819,6,0))</f>
      </c>
      <c r="G112" s="36" t="str">
        <f>IF(OR(E112="",F112="DQ",F112="DNF",F112="DNS",F112=""),"-",VLOOKUP(C112,'FERDİ SONUÇ'!$B$6:$H$819,7,0))</f>
        <v>-</v>
      </c>
      <c r="H112" s="36" t="str">
        <f>IF(OR(E112="",E112="F",F112="DQ",F112="DNF",F112="DNS",F112=""),"-",VLOOKUP(C112,'FERDİ SONUÇ'!$B$6:$H$819,7,0))</f>
        <v>-</v>
      </c>
      <c r="I112" s="38" t="str">
        <f>IF(ISERROR(SMALL(H111:H115,2)),"-",SMALL(H111:H115,2))</f>
        <v>-</v>
      </c>
      <c r="J112" s="32"/>
      <c r="AZ112" s="30">
        <v>1127</v>
      </c>
    </row>
    <row r="113" spans="1:52" ht="15" customHeight="1">
      <c r="A113" s="44">
        <f>IF(AND(B113&lt;&gt;"",J113&lt;&gt;"DQ"),COUNT(J$6:J$305)-(RANK(J113,J$6:J$305)+COUNTIF(J$6:J113,J113))+2,IF(C111&lt;&gt;"",AZ113,""))</f>
      </c>
      <c r="B113" s="33">
        <f>IF(ISERROR(VLOOKUP(C111,'START LİSTE'!$B$6:$G$1006,3,0)),"",VLOOKUP(C111,'START LİSTE'!$B$6:$G$1006,3,0))</f>
      </c>
      <c r="C113" s="34"/>
      <c r="D113" s="35">
        <f>IF(ISERROR(VLOOKUP($C113,'START LİSTE'!$B$6:$G$1006,2,0)),"",VLOOKUP($C113,'START LİSTE'!$B$6:$G$1006,2,0))</f>
      </c>
      <c r="E113" s="36">
        <f>IF(ISERROR(VLOOKUP($C113,'START LİSTE'!$B$6:$G$1006,4,0)),"",VLOOKUP($C113,'START LİSTE'!$B$6:$G$1006,4,0))</f>
      </c>
      <c r="F113" s="131">
        <f>IF(ISERROR(VLOOKUP($C113,'FERDİ SONUÇ'!$B$6:$H$819,6,0)),"",VLOOKUP($C113,'FERDİ SONUÇ'!$B$6:$H$819,6,0))</f>
      </c>
      <c r="G113" s="36" t="str">
        <f>IF(OR(E113="",F113="DQ",F113="DNF",F113="DNS",F113=""),"-",VLOOKUP(C113,'FERDİ SONUÇ'!$B$6:$H$819,7,0))</f>
        <v>-</v>
      </c>
      <c r="H113" s="36" t="str">
        <f>IF(OR(E113="",E113="F",F113="DQ",F113="DNF",F113="DNS",F113=""),"-",VLOOKUP(C113,'FERDİ SONUÇ'!$B$6:$H$819,7,0))</f>
        <v>-</v>
      </c>
      <c r="I113" s="38" t="str">
        <f>IF(ISERROR(SMALL(H111:H115,3)),"-",SMALL(H111:H115,3))</f>
        <v>-</v>
      </c>
      <c r="J113" s="43">
        <f>IF(C111="","",IF(OR(I111="-",I112="-",I113="-",I114="-"),"DQ",SUM(I111,I112,I113,I114)))</f>
      </c>
      <c r="AZ113" s="30">
        <v>1128</v>
      </c>
    </row>
    <row r="114" spans="1:52" ht="15" customHeight="1">
      <c r="A114" s="31"/>
      <c r="B114" s="33"/>
      <c r="C114" s="34"/>
      <c r="D114" s="35">
        <f>IF(ISERROR(VLOOKUP($C114,'START LİSTE'!$B$6:$G$1006,2,0)),"",VLOOKUP($C114,'START LİSTE'!$B$6:$G$1006,2,0))</f>
      </c>
      <c r="E114" s="36">
        <f>IF(ISERROR(VLOOKUP($C114,'START LİSTE'!$B$6:$G$1006,4,0)),"",VLOOKUP($C114,'START LİSTE'!$B$6:$G$1006,4,0))</f>
      </c>
      <c r="F114" s="131">
        <f>IF(ISERROR(VLOOKUP($C114,'FERDİ SONUÇ'!$B$6:$H$819,6,0)),"",VLOOKUP($C114,'FERDİ SONUÇ'!$B$6:$H$819,6,0))</f>
      </c>
      <c r="G114" s="36" t="str">
        <f>IF(OR(E114="",F114="DQ",F114="DNF",F114="DNS",F114=""),"-",VLOOKUP(C114,'FERDİ SONUÇ'!$B$6:$H$819,7,0))</f>
        <v>-</v>
      </c>
      <c r="H114" s="36" t="str">
        <f>IF(OR(E114="",E114="F",F114="DQ",F114="DNF",F114="DNS",F114=""),"-",VLOOKUP(C114,'FERDİ SONUÇ'!$B$6:$H$819,7,0))</f>
        <v>-</v>
      </c>
      <c r="I114" s="38" t="str">
        <f>IF(ISERROR(SMALL(H111:H115,4)),"-",SMALL(H111:H115,4))</f>
        <v>-</v>
      </c>
      <c r="J114" s="32"/>
      <c r="AZ114" s="30">
        <v>1129</v>
      </c>
    </row>
    <row r="115" spans="1:52" ht="15" customHeight="1">
      <c r="A115" s="31"/>
      <c r="B115" s="33"/>
      <c r="C115" s="47"/>
      <c r="D115" s="35">
        <f>IF(ISERROR(VLOOKUP($C115,'START LİSTE'!$B$6:$G$1006,2,0)),"",VLOOKUP($C115,'START LİSTE'!$B$6:$G$1006,2,0))</f>
      </c>
      <c r="E115" s="36">
        <f>IF(ISERROR(VLOOKUP($C115,'START LİSTE'!$B$6:$G$1006,4,0)),"",VLOOKUP($C115,'START LİSTE'!$B$6:$G$1006,4,0))</f>
      </c>
      <c r="F115" s="131">
        <f>IF(ISERROR(VLOOKUP($C115,'FERDİ SONUÇ'!$B$6:$H$819,6,0)),"",VLOOKUP($C115,'FERDİ SONUÇ'!$B$6:$H$819,6,0))</f>
      </c>
      <c r="G115" s="36" t="str">
        <f>IF(OR(E115="",F115="DQ",F115="DNF",F115="DNS",F115=""),"-",VLOOKUP(C115,'FERDİ SONUÇ'!$B$6:$H$819,7,0))</f>
        <v>-</v>
      </c>
      <c r="H115" s="36" t="str">
        <f>IF(OR(E115="",E115="F",F115="DQ",F115="DNF",F115="DNS",F115=""),"-",VLOOKUP(C115,'FERDİ SONUÇ'!$B$6:$H$819,7,0))</f>
        <v>-</v>
      </c>
      <c r="I115" s="38" t="str">
        <f>IF(ISERROR(SMALL(H111:H115,5)),"-",SMALL(H111:H115,5))</f>
        <v>-</v>
      </c>
      <c r="J115" s="32"/>
      <c r="AZ115" s="30">
        <v>1130</v>
      </c>
    </row>
    <row r="116" spans="1:52" ht="15" customHeight="1">
      <c r="A116" s="21"/>
      <c r="B116" s="23"/>
      <c r="C116" s="46"/>
      <c r="D116" s="25">
        <f>IF(ISERROR(VLOOKUP($C116,'START LİSTE'!$B$6:$G$1006,2,0)),"",VLOOKUP($C116,'START LİSTE'!$B$6:$G$1006,2,0))</f>
      </c>
      <c r="E116" s="26">
        <f>IF(ISERROR(VLOOKUP($C116,'START LİSTE'!$B$6:$G$1006,4,0)),"",VLOOKUP($C116,'START LİSTE'!$B$6:$G$1006,4,0))</f>
      </c>
      <c r="F116" s="130">
        <f>IF(ISERROR(VLOOKUP($C116,'FERDİ SONUÇ'!$B$6:$H$819,6,0)),"",VLOOKUP($C116,'FERDİ SONUÇ'!$B$6:$H$819,6,0))</f>
      </c>
      <c r="G116" s="26" t="str">
        <f>IF(OR(E116="",F116="DQ",F116="DNF",F116="DNS",F116=""),"-",VLOOKUP(C116,'FERDİ SONUÇ'!$B$6:$H$819,7,0))</f>
        <v>-</v>
      </c>
      <c r="H116" s="26" t="str">
        <f>IF(OR(E116="",E116="F",F116="DQ",F116="DNF",F116="DNS",F116=""),"-",VLOOKUP(C116,'FERDİ SONUÇ'!$B$6:$H$819,7,0))</f>
        <v>-</v>
      </c>
      <c r="I116" s="28" t="str">
        <f>IF(ISERROR(SMALL(H116:H120,1)),"-",SMALL(H116:H120,1))</f>
        <v>-</v>
      </c>
      <c r="J116" s="22"/>
      <c r="AZ116" s="30">
        <v>1132</v>
      </c>
    </row>
    <row r="117" spans="1:52" ht="15" customHeight="1">
      <c r="A117" s="31"/>
      <c r="B117" s="33"/>
      <c r="C117" s="34"/>
      <c r="D117" s="35">
        <f>IF(ISERROR(VLOOKUP($C117,'START LİSTE'!$B$6:$G$1006,2,0)),"",VLOOKUP($C117,'START LİSTE'!$B$6:$G$1006,2,0))</f>
      </c>
      <c r="E117" s="36">
        <f>IF(ISERROR(VLOOKUP($C117,'START LİSTE'!$B$6:$G$1006,4,0)),"",VLOOKUP($C117,'START LİSTE'!$B$6:$G$1006,4,0))</f>
      </c>
      <c r="F117" s="131">
        <f>IF(ISERROR(VLOOKUP($C117,'FERDİ SONUÇ'!$B$6:$H$819,6,0)),"",VLOOKUP($C117,'FERDİ SONUÇ'!$B$6:$H$819,6,0))</f>
      </c>
      <c r="G117" s="36" t="str">
        <f>IF(OR(E117="",F117="DQ",F117="DNF",F117="DNS",F117=""),"-",VLOOKUP(C117,'FERDİ SONUÇ'!$B$6:$H$819,7,0))</f>
        <v>-</v>
      </c>
      <c r="H117" s="36" t="str">
        <f>IF(OR(E117="",E117="F",F117="DQ",F117="DNF",F117="DNS",F117=""),"-",VLOOKUP(C117,'FERDİ SONUÇ'!$B$6:$H$819,7,0))</f>
        <v>-</v>
      </c>
      <c r="I117" s="38" t="str">
        <f>IF(ISERROR(SMALL(H116:H120,2)),"-",SMALL(H116:H120,2))</f>
        <v>-</v>
      </c>
      <c r="J117" s="32"/>
      <c r="AZ117" s="30">
        <v>1133</v>
      </c>
    </row>
    <row r="118" spans="1:52" ht="15" customHeight="1">
      <c r="A118" s="44">
        <f>IF(AND(B118&lt;&gt;"",J118&lt;&gt;"DQ"),COUNT(J$6:J$305)-(RANK(J118,J$6:J$305)+COUNTIF(J$6:J118,J118))+2,IF(C116&lt;&gt;"",AZ118,""))</f>
      </c>
      <c r="B118" s="33">
        <f>IF(ISERROR(VLOOKUP(C116,'START LİSTE'!$B$6:$G$1006,3,0)),"",VLOOKUP(C116,'START LİSTE'!$B$6:$G$1006,3,0))</f>
      </c>
      <c r="C118" s="34"/>
      <c r="D118" s="35">
        <f>IF(ISERROR(VLOOKUP($C118,'START LİSTE'!$B$6:$G$1006,2,0)),"",VLOOKUP($C118,'START LİSTE'!$B$6:$G$1006,2,0))</f>
      </c>
      <c r="E118" s="36">
        <f>IF(ISERROR(VLOOKUP($C118,'START LİSTE'!$B$6:$G$1006,4,0)),"",VLOOKUP($C118,'START LİSTE'!$B$6:$G$1006,4,0))</f>
      </c>
      <c r="F118" s="131">
        <f>IF(ISERROR(VLOOKUP($C118,'FERDİ SONUÇ'!$B$6:$H$819,6,0)),"",VLOOKUP($C118,'FERDİ SONUÇ'!$B$6:$H$819,6,0))</f>
      </c>
      <c r="G118" s="36" t="str">
        <f>IF(OR(E118="",F118="DQ",F118="DNF",F118="DNS",F118=""),"-",VLOOKUP(C118,'FERDİ SONUÇ'!$B$6:$H$819,7,0))</f>
        <v>-</v>
      </c>
      <c r="H118" s="36" t="str">
        <f>IF(OR(E118="",E118="F",F118="DQ",F118="DNF",F118="DNS",F118=""),"-",VLOOKUP(C118,'FERDİ SONUÇ'!$B$6:$H$819,7,0))</f>
        <v>-</v>
      </c>
      <c r="I118" s="38" t="str">
        <f>IF(ISERROR(SMALL(H116:H120,3)),"-",SMALL(H116:H120,3))</f>
        <v>-</v>
      </c>
      <c r="J118" s="43">
        <f>IF(C116="","",IF(OR(I116="-",I117="-",I118="-",I119="-"),"DQ",SUM(I116,I117,I118,I119)))</f>
      </c>
      <c r="AZ118" s="30">
        <v>1134</v>
      </c>
    </row>
    <row r="119" spans="1:52" ht="15" customHeight="1">
      <c r="A119" s="31"/>
      <c r="B119" s="33"/>
      <c r="C119" s="34"/>
      <c r="D119" s="35">
        <f>IF(ISERROR(VLOOKUP($C119,'START LİSTE'!$B$6:$G$1006,2,0)),"",VLOOKUP($C119,'START LİSTE'!$B$6:$G$1006,2,0))</f>
      </c>
      <c r="E119" s="36">
        <f>IF(ISERROR(VLOOKUP($C119,'START LİSTE'!$B$6:$G$1006,4,0)),"",VLOOKUP($C119,'START LİSTE'!$B$6:$G$1006,4,0))</f>
      </c>
      <c r="F119" s="131">
        <f>IF(ISERROR(VLOOKUP($C119,'FERDİ SONUÇ'!$B$6:$H$819,6,0)),"",VLOOKUP($C119,'FERDİ SONUÇ'!$B$6:$H$819,6,0))</f>
      </c>
      <c r="G119" s="36" t="str">
        <f>IF(OR(E119="",F119="DQ",F119="DNF",F119="DNS",F119=""),"-",VLOOKUP(C119,'FERDİ SONUÇ'!$B$6:$H$819,7,0))</f>
        <v>-</v>
      </c>
      <c r="H119" s="36" t="str">
        <f>IF(OR(E119="",E119="F",F119="DQ",F119="DNF",F119="DNS",F119=""),"-",VLOOKUP(C119,'FERDİ SONUÇ'!$B$6:$H$819,7,0))</f>
        <v>-</v>
      </c>
      <c r="I119" s="38" t="str">
        <f>IF(ISERROR(SMALL(H116:H120,4)),"-",SMALL(H116:H120,4))</f>
        <v>-</v>
      </c>
      <c r="J119" s="32"/>
      <c r="AZ119" s="30">
        <v>1135</v>
      </c>
    </row>
    <row r="120" spans="1:52" ht="15" customHeight="1">
      <c r="A120" s="31"/>
      <c r="B120" s="33"/>
      <c r="C120" s="47"/>
      <c r="D120" s="35">
        <f>IF(ISERROR(VLOOKUP($C120,'START LİSTE'!$B$6:$G$1006,2,0)),"",VLOOKUP($C120,'START LİSTE'!$B$6:$G$1006,2,0))</f>
      </c>
      <c r="E120" s="36">
        <f>IF(ISERROR(VLOOKUP($C120,'START LİSTE'!$B$6:$G$1006,4,0)),"",VLOOKUP($C120,'START LİSTE'!$B$6:$G$1006,4,0))</f>
      </c>
      <c r="F120" s="131">
        <f>IF(ISERROR(VLOOKUP($C120,'FERDİ SONUÇ'!$B$6:$H$819,6,0)),"",VLOOKUP($C120,'FERDİ SONUÇ'!$B$6:$H$819,6,0))</f>
      </c>
      <c r="G120" s="36" t="str">
        <f>IF(OR(E120="",F120="DQ",F120="DNF",F120="DNS",F120=""),"-",VLOOKUP(C120,'FERDİ SONUÇ'!$B$6:$H$819,7,0))</f>
        <v>-</v>
      </c>
      <c r="H120" s="36" t="str">
        <f>IF(OR(E120="",E120="F",F120="DQ",F120="DNF",F120="DNS",F120=""),"-",VLOOKUP(C120,'FERDİ SONUÇ'!$B$6:$H$819,7,0))</f>
        <v>-</v>
      </c>
      <c r="I120" s="38" t="str">
        <f>IF(ISERROR(SMALL(H116:H120,5)),"-",SMALL(H116:H120,5))</f>
        <v>-</v>
      </c>
      <c r="J120" s="32"/>
      <c r="AZ120" s="30">
        <v>1136</v>
      </c>
    </row>
    <row r="121" spans="1:52" ht="15" customHeight="1">
      <c r="A121" s="21"/>
      <c r="B121" s="23"/>
      <c r="C121" s="46"/>
      <c r="D121" s="25">
        <f>IF(ISERROR(VLOOKUP($C121,'START LİSTE'!$B$6:$G$1006,2,0)),"",VLOOKUP($C121,'START LİSTE'!$B$6:$G$1006,2,0))</f>
      </c>
      <c r="E121" s="26">
        <f>IF(ISERROR(VLOOKUP($C121,'START LİSTE'!$B$6:$G$1006,4,0)),"",VLOOKUP($C121,'START LİSTE'!$B$6:$G$1006,4,0))</f>
      </c>
      <c r="F121" s="130">
        <f>IF(ISERROR(VLOOKUP($C121,'FERDİ SONUÇ'!$B$6:$H$819,6,0)),"",VLOOKUP($C121,'FERDİ SONUÇ'!$B$6:$H$819,6,0))</f>
      </c>
      <c r="G121" s="26" t="str">
        <f>IF(OR(E121="",F121="DQ",F121="DNF",F121="DNS",F121=""),"-",VLOOKUP(C121,'FERDİ SONUÇ'!$B$6:$H$819,7,0))</f>
        <v>-</v>
      </c>
      <c r="H121" s="26" t="str">
        <f>IF(OR(E121="",E121="F",F121="DQ",F121="DNF",F121="DNS",F121=""),"-",VLOOKUP(C121,'FERDİ SONUÇ'!$B$6:$H$819,7,0))</f>
        <v>-</v>
      </c>
      <c r="I121" s="28" t="str">
        <f>IF(ISERROR(SMALL(H121:H125,1)),"-",SMALL(H121:H125,1))</f>
        <v>-</v>
      </c>
      <c r="J121" s="22"/>
      <c r="AZ121" s="30">
        <v>1138</v>
      </c>
    </row>
    <row r="122" spans="1:52" ht="15" customHeight="1">
      <c r="A122" s="31"/>
      <c r="B122" s="33"/>
      <c r="C122" s="34"/>
      <c r="D122" s="35">
        <f>IF(ISERROR(VLOOKUP($C122,'START LİSTE'!$B$6:$G$1006,2,0)),"",VLOOKUP($C122,'START LİSTE'!$B$6:$G$1006,2,0))</f>
      </c>
      <c r="E122" s="36">
        <f>IF(ISERROR(VLOOKUP($C122,'START LİSTE'!$B$6:$G$1006,4,0)),"",VLOOKUP($C122,'START LİSTE'!$B$6:$G$1006,4,0))</f>
      </c>
      <c r="F122" s="131">
        <f>IF(ISERROR(VLOOKUP($C122,'FERDİ SONUÇ'!$B$6:$H$819,6,0)),"",VLOOKUP($C122,'FERDİ SONUÇ'!$B$6:$H$819,6,0))</f>
      </c>
      <c r="G122" s="36" t="str">
        <f>IF(OR(E122="",F122="DQ",F122="DNF",F122="DNS",F122=""),"-",VLOOKUP(C122,'FERDİ SONUÇ'!$B$6:$H$819,7,0))</f>
        <v>-</v>
      </c>
      <c r="H122" s="36" t="str">
        <f>IF(OR(E122="",E122="F",F122="DQ",F122="DNF",F122="DNS",F122=""),"-",VLOOKUP(C122,'FERDİ SONUÇ'!$B$6:$H$819,7,0))</f>
        <v>-</v>
      </c>
      <c r="I122" s="38" t="str">
        <f>IF(ISERROR(SMALL(H121:H125,2)),"-",SMALL(H121:H125,2))</f>
        <v>-</v>
      </c>
      <c r="J122" s="32"/>
      <c r="AZ122" s="30">
        <v>1139</v>
      </c>
    </row>
    <row r="123" spans="1:52" ht="15" customHeight="1">
      <c r="A123" s="44">
        <f>IF(AND(B123&lt;&gt;"",J123&lt;&gt;"DQ"),COUNT(J$6:J$305)-(RANK(J123,J$6:J$305)+COUNTIF(J$6:J123,J123))+2,IF(C121&lt;&gt;"",AZ123,""))</f>
      </c>
      <c r="B123" s="33">
        <f>IF(ISERROR(VLOOKUP(C121,'START LİSTE'!$B$6:$G$1006,3,0)),"",VLOOKUP(C121,'START LİSTE'!$B$6:$G$1006,3,0))</f>
      </c>
      <c r="C123" s="34"/>
      <c r="D123" s="35">
        <f>IF(ISERROR(VLOOKUP($C123,'START LİSTE'!$B$6:$G$1006,2,0)),"",VLOOKUP($C123,'START LİSTE'!$B$6:$G$1006,2,0))</f>
      </c>
      <c r="E123" s="36">
        <f>IF(ISERROR(VLOOKUP($C123,'START LİSTE'!$B$6:$G$1006,4,0)),"",VLOOKUP($C123,'START LİSTE'!$B$6:$G$1006,4,0))</f>
      </c>
      <c r="F123" s="131">
        <f>IF(ISERROR(VLOOKUP($C123,'FERDİ SONUÇ'!$B$6:$H$819,6,0)),"",VLOOKUP($C123,'FERDİ SONUÇ'!$B$6:$H$819,6,0))</f>
      </c>
      <c r="G123" s="36" t="str">
        <f>IF(OR(E123="",F123="DQ",F123="DNF",F123="DNS",F123=""),"-",VLOOKUP(C123,'FERDİ SONUÇ'!$B$6:$H$819,7,0))</f>
        <v>-</v>
      </c>
      <c r="H123" s="36" t="str">
        <f>IF(OR(E123="",E123="F",F123="DQ",F123="DNF",F123="DNS",F123=""),"-",VLOOKUP(C123,'FERDİ SONUÇ'!$B$6:$H$819,7,0))</f>
        <v>-</v>
      </c>
      <c r="I123" s="38" t="str">
        <f>IF(ISERROR(SMALL(H121:H125,3)),"-",SMALL(H121:H125,3))</f>
        <v>-</v>
      </c>
      <c r="J123" s="43">
        <f>IF(C121="","",IF(OR(I121="-",I122="-",I123="-",I124="-"),"DQ",SUM(I121,I122,I123,I124)))</f>
      </c>
      <c r="AZ123" s="30">
        <v>1140</v>
      </c>
    </row>
    <row r="124" spans="1:52" ht="15" customHeight="1">
      <c r="A124" s="31"/>
      <c r="B124" s="33"/>
      <c r="C124" s="34"/>
      <c r="D124" s="35">
        <f>IF(ISERROR(VLOOKUP($C124,'START LİSTE'!$B$6:$G$1006,2,0)),"",VLOOKUP($C124,'START LİSTE'!$B$6:$G$1006,2,0))</f>
      </c>
      <c r="E124" s="36">
        <f>IF(ISERROR(VLOOKUP($C124,'START LİSTE'!$B$6:$G$1006,4,0)),"",VLOOKUP($C124,'START LİSTE'!$B$6:$G$1006,4,0))</f>
      </c>
      <c r="F124" s="131">
        <f>IF(ISERROR(VLOOKUP($C124,'FERDİ SONUÇ'!$B$6:$H$819,6,0)),"",VLOOKUP($C124,'FERDİ SONUÇ'!$B$6:$H$819,6,0))</f>
      </c>
      <c r="G124" s="36" t="str">
        <f>IF(OR(E124="",F124="DQ",F124="DNF",F124="DNS",F124=""),"-",VLOOKUP(C124,'FERDİ SONUÇ'!$B$6:$H$819,7,0))</f>
        <v>-</v>
      </c>
      <c r="H124" s="36" t="str">
        <f>IF(OR(E124="",E124="F",F124="DQ",F124="DNF",F124="DNS",F124=""),"-",VLOOKUP(C124,'FERDİ SONUÇ'!$B$6:$H$819,7,0))</f>
        <v>-</v>
      </c>
      <c r="I124" s="38" t="str">
        <f>IF(ISERROR(SMALL(H121:H125,4)),"-",SMALL(H121:H125,4))</f>
        <v>-</v>
      </c>
      <c r="J124" s="32"/>
      <c r="AZ124" s="30">
        <v>1141</v>
      </c>
    </row>
    <row r="125" spans="1:52" ht="15" customHeight="1">
      <c r="A125" s="31"/>
      <c r="B125" s="33"/>
      <c r="C125" s="47"/>
      <c r="D125" s="35">
        <f>IF(ISERROR(VLOOKUP($C125,'START LİSTE'!$B$6:$G$1006,2,0)),"",VLOOKUP($C125,'START LİSTE'!$B$6:$G$1006,2,0))</f>
      </c>
      <c r="E125" s="36">
        <f>IF(ISERROR(VLOOKUP($C125,'START LİSTE'!$B$6:$G$1006,4,0)),"",VLOOKUP($C125,'START LİSTE'!$B$6:$G$1006,4,0))</f>
      </c>
      <c r="F125" s="131">
        <f>IF(ISERROR(VLOOKUP($C125,'FERDİ SONUÇ'!$B$6:$H$819,6,0)),"",VLOOKUP($C125,'FERDİ SONUÇ'!$B$6:$H$819,6,0))</f>
      </c>
      <c r="G125" s="36" t="str">
        <f>IF(OR(E125="",F125="DQ",F125="DNF",F125="DNS",F125=""),"-",VLOOKUP(C125,'FERDİ SONUÇ'!$B$6:$H$819,7,0))</f>
        <v>-</v>
      </c>
      <c r="H125" s="36" t="str">
        <f>IF(OR(E125="",E125="F",F125="DQ",F125="DNF",F125="DNS",F125=""),"-",VLOOKUP(C125,'FERDİ SONUÇ'!$B$6:$H$819,7,0))</f>
        <v>-</v>
      </c>
      <c r="I125" s="38" t="str">
        <f>IF(ISERROR(SMALL(H121:H125,5)),"-",SMALL(H121:H125,5))</f>
        <v>-</v>
      </c>
      <c r="J125" s="32"/>
      <c r="AZ125" s="30">
        <v>1142</v>
      </c>
    </row>
    <row r="126" spans="1:52" ht="15" customHeight="1">
      <c r="A126" s="21"/>
      <c r="B126" s="23"/>
      <c r="C126" s="46"/>
      <c r="D126" s="25">
        <f>IF(ISERROR(VLOOKUP($C126,'START LİSTE'!$B$6:$G$1006,2,0)),"",VLOOKUP($C126,'START LİSTE'!$B$6:$G$1006,2,0))</f>
      </c>
      <c r="E126" s="26">
        <f>IF(ISERROR(VLOOKUP($C126,'START LİSTE'!$B$6:$G$1006,4,0)),"",VLOOKUP($C126,'START LİSTE'!$B$6:$G$1006,4,0))</f>
      </c>
      <c r="F126" s="130">
        <f>IF(ISERROR(VLOOKUP($C126,'FERDİ SONUÇ'!$B$6:$H$819,6,0)),"",VLOOKUP($C126,'FERDİ SONUÇ'!$B$6:$H$819,6,0))</f>
      </c>
      <c r="G126" s="26" t="str">
        <f>IF(OR(E126="",F126="DQ",F126="DNF",F126="DNS",F126=""),"-",VLOOKUP(C126,'FERDİ SONUÇ'!$B$6:$H$819,7,0))</f>
        <v>-</v>
      </c>
      <c r="H126" s="26" t="str">
        <f>IF(OR(E126="",E126="F",F126="DQ",F126="DNF",F126="DNS",F126=""),"-",VLOOKUP(C126,'FERDİ SONUÇ'!$B$6:$H$819,7,0))</f>
        <v>-</v>
      </c>
      <c r="I126" s="28" t="str">
        <f>IF(ISERROR(SMALL(H126:H130,1)),"-",SMALL(H126:H130,1))</f>
        <v>-</v>
      </c>
      <c r="J126" s="22"/>
      <c r="AZ126" s="30">
        <v>1144</v>
      </c>
    </row>
    <row r="127" spans="1:52" ht="15" customHeight="1">
      <c r="A127" s="31"/>
      <c r="B127" s="33"/>
      <c r="C127" s="34"/>
      <c r="D127" s="35">
        <f>IF(ISERROR(VLOOKUP($C127,'START LİSTE'!$B$6:$G$1006,2,0)),"",VLOOKUP($C127,'START LİSTE'!$B$6:$G$1006,2,0))</f>
      </c>
      <c r="E127" s="36">
        <f>IF(ISERROR(VLOOKUP($C127,'START LİSTE'!$B$6:$G$1006,4,0)),"",VLOOKUP($C127,'START LİSTE'!$B$6:$G$1006,4,0))</f>
      </c>
      <c r="F127" s="131">
        <f>IF(ISERROR(VLOOKUP($C127,'FERDİ SONUÇ'!$B$6:$H$819,6,0)),"",VLOOKUP($C127,'FERDİ SONUÇ'!$B$6:$H$819,6,0))</f>
      </c>
      <c r="G127" s="36" t="str">
        <f>IF(OR(E127="",F127="DQ",F127="DNF",F127="DNS",F127=""),"-",VLOOKUP(C127,'FERDİ SONUÇ'!$B$6:$H$819,7,0))</f>
        <v>-</v>
      </c>
      <c r="H127" s="36" t="str">
        <f>IF(OR(E127="",E127="F",F127="DQ",F127="DNF",F127="DNS",F127=""),"-",VLOOKUP(C127,'FERDİ SONUÇ'!$B$6:$H$819,7,0))</f>
        <v>-</v>
      </c>
      <c r="I127" s="38" t="str">
        <f>IF(ISERROR(SMALL(H126:H130,2)),"-",SMALL(H126:H130,2))</f>
        <v>-</v>
      </c>
      <c r="J127" s="32"/>
      <c r="AZ127" s="30">
        <v>1145</v>
      </c>
    </row>
    <row r="128" spans="1:52" ht="15" customHeight="1">
      <c r="A128" s="44">
        <f>IF(AND(B128&lt;&gt;"",J128&lt;&gt;"DQ"),COUNT(J$6:J$305)-(RANK(J128,J$6:J$305)+COUNTIF(J$6:J128,J128))+2,IF(C126&lt;&gt;"",AZ128,""))</f>
      </c>
      <c r="B128" s="33">
        <f>IF(ISERROR(VLOOKUP(C126,'START LİSTE'!$B$6:$G$1006,3,0)),"",VLOOKUP(C126,'START LİSTE'!$B$6:$G$1006,3,0))</f>
      </c>
      <c r="C128" s="34"/>
      <c r="D128" s="35">
        <f>IF(ISERROR(VLOOKUP($C128,'START LİSTE'!$B$6:$G$1006,2,0)),"",VLOOKUP($C128,'START LİSTE'!$B$6:$G$1006,2,0))</f>
      </c>
      <c r="E128" s="36">
        <f>IF(ISERROR(VLOOKUP($C128,'START LİSTE'!$B$6:$G$1006,4,0)),"",VLOOKUP($C128,'START LİSTE'!$B$6:$G$1006,4,0))</f>
      </c>
      <c r="F128" s="131">
        <f>IF(ISERROR(VLOOKUP($C128,'FERDİ SONUÇ'!$B$6:$H$819,6,0)),"",VLOOKUP($C128,'FERDİ SONUÇ'!$B$6:$H$819,6,0))</f>
      </c>
      <c r="G128" s="36" t="str">
        <f>IF(OR(E128="",F128="DQ",F128="DNF",F128="DNS",F128=""),"-",VLOOKUP(C128,'FERDİ SONUÇ'!$B$6:$H$819,7,0))</f>
        <v>-</v>
      </c>
      <c r="H128" s="36" t="str">
        <f>IF(OR(E128="",E128="F",F128="DQ",F128="DNF",F128="DNS",F128=""),"-",VLOOKUP(C128,'FERDİ SONUÇ'!$B$6:$H$819,7,0))</f>
        <v>-</v>
      </c>
      <c r="I128" s="38" t="str">
        <f>IF(ISERROR(SMALL(H126:H130,3)),"-",SMALL(H126:H130,3))</f>
        <v>-</v>
      </c>
      <c r="J128" s="43">
        <f>IF(C126="","",IF(OR(I126="-",I127="-",I128="-",I129="-"),"DQ",SUM(I126,I127,I128,I129)))</f>
      </c>
      <c r="AZ128" s="30">
        <v>1146</v>
      </c>
    </row>
    <row r="129" spans="1:52" ht="15" customHeight="1">
      <c r="A129" s="31"/>
      <c r="B129" s="33"/>
      <c r="C129" s="34"/>
      <c r="D129" s="35">
        <f>IF(ISERROR(VLOOKUP($C129,'START LİSTE'!$B$6:$G$1006,2,0)),"",VLOOKUP($C129,'START LİSTE'!$B$6:$G$1006,2,0))</f>
      </c>
      <c r="E129" s="36">
        <f>IF(ISERROR(VLOOKUP($C129,'START LİSTE'!$B$6:$G$1006,4,0)),"",VLOOKUP($C129,'START LİSTE'!$B$6:$G$1006,4,0))</f>
      </c>
      <c r="F129" s="131">
        <f>IF(ISERROR(VLOOKUP($C129,'FERDİ SONUÇ'!$B$6:$H$819,6,0)),"",VLOOKUP($C129,'FERDİ SONUÇ'!$B$6:$H$819,6,0))</f>
      </c>
      <c r="G129" s="36" t="str">
        <f>IF(OR(E129="",F129="DQ",F129="DNF",F129="DNS",F129=""),"-",VLOOKUP(C129,'FERDİ SONUÇ'!$B$6:$H$819,7,0))</f>
        <v>-</v>
      </c>
      <c r="H129" s="36" t="str">
        <f>IF(OR(E129="",E129="F",F129="DQ",F129="DNF",F129="DNS",F129=""),"-",VLOOKUP(C129,'FERDİ SONUÇ'!$B$6:$H$819,7,0))</f>
        <v>-</v>
      </c>
      <c r="I129" s="38" t="str">
        <f>IF(ISERROR(SMALL(H126:H130,4)),"-",SMALL(H126:H130,4))</f>
        <v>-</v>
      </c>
      <c r="J129" s="32"/>
      <c r="AZ129" s="30">
        <v>1147</v>
      </c>
    </row>
    <row r="130" spans="1:52" ht="15" customHeight="1">
      <c r="A130" s="31"/>
      <c r="B130" s="33"/>
      <c r="C130" s="47"/>
      <c r="D130" s="35">
        <f>IF(ISERROR(VLOOKUP($C130,'START LİSTE'!$B$6:$G$1006,2,0)),"",VLOOKUP($C130,'START LİSTE'!$B$6:$G$1006,2,0))</f>
      </c>
      <c r="E130" s="36">
        <f>IF(ISERROR(VLOOKUP($C130,'START LİSTE'!$B$6:$G$1006,4,0)),"",VLOOKUP($C130,'START LİSTE'!$B$6:$G$1006,4,0))</f>
      </c>
      <c r="F130" s="131">
        <f>IF(ISERROR(VLOOKUP($C130,'FERDİ SONUÇ'!$B$6:$H$819,6,0)),"",VLOOKUP($C130,'FERDİ SONUÇ'!$B$6:$H$819,6,0))</f>
      </c>
      <c r="G130" s="36" t="str">
        <f>IF(OR(E130="",F130="DQ",F130="DNF",F130="DNS",F130=""),"-",VLOOKUP(C130,'FERDİ SONUÇ'!$B$6:$H$819,7,0))</f>
        <v>-</v>
      </c>
      <c r="H130" s="36" t="str">
        <f>IF(OR(E130="",E130="F",F130="DQ",F130="DNF",F130="DNS",F130=""),"-",VLOOKUP(C130,'FERDİ SONUÇ'!$B$6:$H$819,7,0))</f>
        <v>-</v>
      </c>
      <c r="I130" s="38" t="str">
        <f>IF(ISERROR(SMALL(H126:H130,5)),"-",SMALL(H126:H130,5))</f>
        <v>-</v>
      </c>
      <c r="J130" s="32"/>
      <c r="AZ130" s="30">
        <v>1148</v>
      </c>
    </row>
    <row r="131" spans="1:52" ht="15" customHeight="1">
      <c r="A131" s="21"/>
      <c r="B131" s="23"/>
      <c r="C131" s="46"/>
      <c r="D131" s="25">
        <f>IF(ISERROR(VLOOKUP($C131,'START LİSTE'!$B$6:$G$1006,2,0)),"",VLOOKUP($C131,'START LİSTE'!$B$6:$G$1006,2,0))</f>
      </c>
      <c r="E131" s="26">
        <f>IF(ISERROR(VLOOKUP($C131,'START LİSTE'!$B$6:$G$1006,4,0)),"",VLOOKUP($C131,'START LİSTE'!$B$6:$G$1006,4,0))</f>
      </c>
      <c r="F131" s="130">
        <f>IF(ISERROR(VLOOKUP($C131,'FERDİ SONUÇ'!$B$6:$H$819,6,0)),"",VLOOKUP($C131,'FERDİ SONUÇ'!$B$6:$H$819,6,0))</f>
      </c>
      <c r="G131" s="26" t="str">
        <f>IF(OR(E131="",F131="DQ",F131="DNF",F131="DNS",F131=""),"-",VLOOKUP(C131,'FERDİ SONUÇ'!$B$6:$H$819,7,0))</f>
        <v>-</v>
      </c>
      <c r="H131" s="26" t="str">
        <f>IF(OR(E131="",E131="F",F131="DQ",F131="DNF",F131="DNS",F131=""),"-",VLOOKUP(C131,'FERDİ SONUÇ'!$B$6:$H$819,7,0))</f>
        <v>-</v>
      </c>
      <c r="I131" s="28" t="str">
        <f>IF(ISERROR(SMALL(H131:H135,1)),"-",SMALL(H131:H135,1))</f>
        <v>-</v>
      </c>
      <c r="J131" s="22"/>
      <c r="AZ131" s="30">
        <v>1150</v>
      </c>
    </row>
    <row r="132" spans="1:52" ht="15" customHeight="1">
      <c r="A132" s="31"/>
      <c r="B132" s="33"/>
      <c r="C132" s="34"/>
      <c r="D132" s="35">
        <f>IF(ISERROR(VLOOKUP($C132,'START LİSTE'!$B$6:$G$1006,2,0)),"",VLOOKUP($C132,'START LİSTE'!$B$6:$G$1006,2,0))</f>
      </c>
      <c r="E132" s="36">
        <f>IF(ISERROR(VLOOKUP($C132,'START LİSTE'!$B$6:$G$1006,4,0)),"",VLOOKUP($C132,'START LİSTE'!$B$6:$G$1006,4,0))</f>
      </c>
      <c r="F132" s="131">
        <f>IF(ISERROR(VLOOKUP($C132,'FERDİ SONUÇ'!$B$6:$H$819,6,0)),"",VLOOKUP($C132,'FERDİ SONUÇ'!$B$6:$H$819,6,0))</f>
      </c>
      <c r="G132" s="36" t="str">
        <f>IF(OR(E132="",F132="DQ",F132="DNF",F132="DNS",F132=""),"-",VLOOKUP(C132,'FERDİ SONUÇ'!$B$6:$H$819,7,0))</f>
        <v>-</v>
      </c>
      <c r="H132" s="36" t="str">
        <f>IF(OR(E132="",E132="F",F132="DQ",F132="DNF",F132="DNS",F132=""),"-",VLOOKUP(C132,'FERDİ SONUÇ'!$B$6:$H$819,7,0))</f>
        <v>-</v>
      </c>
      <c r="I132" s="38" t="str">
        <f>IF(ISERROR(SMALL(H131:H135,2)),"-",SMALL(H131:H135,2))</f>
        <v>-</v>
      </c>
      <c r="J132" s="32"/>
      <c r="AZ132" s="30">
        <v>1151</v>
      </c>
    </row>
    <row r="133" spans="1:52" ht="15" customHeight="1">
      <c r="A133" s="44">
        <f>IF(AND(B133&lt;&gt;"",J133&lt;&gt;"DQ"),COUNT(J$6:J$305)-(RANK(J133,J$6:J$305)+COUNTIF(J$6:J133,J133))+2,IF(C131&lt;&gt;"",AZ133,""))</f>
      </c>
      <c r="B133" s="33">
        <f>IF(ISERROR(VLOOKUP(C131,'START LİSTE'!$B$6:$G$1006,3,0)),"",VLOOKUP(C131,'START LİSTE'!$B$6:$G$1006,3,0))</f>
      </c>
      <c r="C133" s="34"/>
      <c r="D133" s="35">
        <f>IF(ISERROR(VLOOKUP($C133,'START LİSTE'!$B$6:$G$1006,2,0)),"",VLOOKUP($C133,'START LİSTE'!$B$6:$G$1006,2,0))</f>
      </c>
      <c r="E133" s="36">
        <f>IF(ISERROR(VLOOKUP($C133,'START LİSTE'!$B$6:$G$1006,4,0)),"",VLOOKUP($C133,'START LİSTE'!$B$6:$G$1006,4,0))</f>
      </c>
      <c r="F133" s="131">
        <f>IF(ISERROR(VLOOKUP($C133,'FERDİ SONUÇ'!$B$6:$H$819,6,0)),"",VLOOKUP($C133,'FERDİ SONUÇ'!$B$6:$H$819,6,0))</f>
      </c>
      <c r="G133" s="36" t="str">
        <f>IF(OR(E133="",F133="DQ",F133="DNF",F133="DNS",F133=""),"-",VLOOKUP(C133,'FERDİ SONUÇ'!$B$6:$H$819,7,0))</f>
        <v>-</v>
      </c>
      <c r="H133" s="36" t="str">
        <f>IF(OR(E133="",E133="F",F133="DQ",F133="DNF",F133="DNS",F133=""),"-",VLOOKUP(C133,'FERDİ SONUÇ'!$B$6:$H$819,7,0))</f>
        <v>-</v>
      </c>
      <c r="I133" s="38" t="str">
        <f>IF(ISERROR(SMALL(H131:H135,3)),"-",SMALL(H131:H135,3))</f>
        <v>-</v>
      </c>
      <c r="J133" s="43">
        <f>IF(C131="","",IF(OR(I131="-",I132="-",I133="-",I134="-"),"DQ",SUM(I131,I132,I133,I134)))</f>
      </c>
      <c r="AZ133" s="30">
        <v>1152</v>
      </c>
    </row>
    <row r="134" spans="1:52" ht="15" customHeight="1">
      <c r="A134" s="31"/>
      <c r="B134" s="33"/>
      <c r="C134" s="34"/>
      <c r="D134" s="35">
        <f>IF(ISERROR(VLOOKUP($C134,'START LİSTE'!$B$6:$G$1006,2,0)),"",VLOOKUP($C134,'START LİSTE'!$B$6:$G$1006,2,0))</f>
      </c>
      <c r="E134" s="36">
        <f>IF(ISERROR(VLOOKUP($C134,'START LİSTE'!$B$6:$G$1006,4,0)),"",VLOOKUP($C134,'START LİSTE'!$B$6:$G$1006,4,0))</f>
      </c>
      <c r="F134" s="131">
        <f>IF(ISERROR(VLOOKUP($C134,'FERDİ SONUÇ'!$B$6:$H$819,6,0)),"",VLOOKUP($C134,'FERDİ SONUÇ'!$B$6:$H$819,6,0))</f>
      </c>
      <c r="G134" s="36" t="str">
        <f>IF(OR(E134="",F134="DQ",F134="DNF",F134="DNS",F134=""),"-",VLOOKUP(C134,'FERDİ SONUÇ'!$B$6:$H$819,7,0))</f>
        <v>-</v>
      </c>
      <c r="H134" s="36" t="str">
        <f>IF(OR(E134="",E134="F",F134="DQ",F134="DNF",F134="DNS",F134=""),"-",VLOOKUP(C134,'FERDİ SONUÇ'!$B$6:$H$819,7,0))</f>
        <v>-</v>
      </c>
      <c r="I134" s="38" t="str">
        <f>IF(ISERROR(SMALL(H131:H135,4)),"-",SMALL(H131:H135,4))</f>
        <v>-</v>
      </c>
      <c r="J134" s="32"/>
      <c r="AZ134" s="30">
        <v>1153</v>
      </c>
    </row>
    <row r="135" spans="1:52" ht="15" customHeight="1">
      <c r="A135" s="31"/>
      <c r="B135" s="33"/>
      <c r="C135" s="47"/>
      <c r="D135" s="35">
        <f>IF(ISERROR(VLOOKUP($C135,'START LİSTE'!$B$6:$G$1006,2,0)),"",VLOOKUP($C135,'START LİSTE'!$B$6:$G$1006,2,0))</f>
      </c>
      <c r="E135" s="36">
        <f>IF(ISERROR(VLOOKUP($C135,'START LİSTE'!$B$6:$G$1006,4,0)),"",VLOOKUP($C135,'START LİSTE'!$B$6:$G$1006,4,0))</f>
      </c>
      <c r="F135" s="131">
        <f>IF(ISERROR(VLOOKUP($C135,'FERDİ SONUÇ'!$B$6:$H$819,6,0)),"",VLOOKUP($C135,'FERDİ SONUÇ'!$B$6:$H$819,6,0))</f>
      </c>
      <c r="G135" s="36" t="str">
        <f>IF(OR(E135="",F135="DQ",F135="DNF",F135="DNS",F135=""),"-",VLOOKUP(C135,'FERDİ SONUÇ'!$B$6:$H$819,7,0))</f>
        <v>-</v>
      </c>
      <c r="H135" s="36" t="str">
        <f>IF(OR(E135="",E135="F",F135="DQ",F135="DNF",F135="DNS",F135=""),"-",VLOOKUP(C135,'FERDİ SONUÇ'!$B$6:$H$819,7,0))</f>
        <v>-</v>
      </c>
      <c r="I135" s="38" t="str">
        <f>IF(ISERROR(SMALL(H131:H135,5)),"-",SMALL(H131:H135,5))</f>
        <v>-</v>
      </c>
      <c r="J135" s="32"/>
      <c r="AZ135" s="30">
        <v>1154</v>
      </c>
    </row>
    <row r="136" spans="1:52" ht="15" customHeight="1">
      <c r="A136" s="21"/>
      <c r="B136" s="23"/>
      <c r="C136" s="46"/>
      <c r="D136" s="25">
        <f>IF(ISERROR(VLOOKUP($C136,'START LİSTE'!$B$6:$G$1006,2,0)),"",VLOOKUP($C136,'START LİSTE'!$B$6:$G$1006,2,0))</f>
      </c>
      <c r="E136" s="26">
        <f>IF(ISERROR(VLOOKUP($C136,'START LİSTE'!$B$6:$G$1006,4,0)),"",VLOOKUP($C136,'START LİSTE'!$B$6:$G$1006,4,0))</f>
      </c>
      <c r="F136" s="130">
        <f>IF(ISERROR(VLOOKUP($C136,'FERDİ SONUÇ'!$B$6:$H$819,6,0)),"",VLOOKUP($C136,'FERDİ SONUÇ'!$B$6:$H$819,6,0))</f>
      </c>
      <c r="G136" s="26" t="str">
        <f>IF(OR(E136="",F136="DQ",F136="DNF",F136="DNS",F136=""),"-",VLOOKUP(C136,'FERDİ SONUÇ'!$B$6:$H$819,7,0))</f>
        <v>-</v>
      </c>
      <c r="H136" s="26" t="str">
        <f>IF(OR(E136="",E136="F",F136="DQ",F136="DNF",F136="DNS",F136=""),"-",VLOOKUP(C136,'FERDİ SONUÇ'!$B$6:$H$819,7,0))</f>
        <v>-</v>
      </c>
      <c r="I136" s="28" t="str">
        <f>IF(ISERROR(SMALL(H136:H140,1)),"-",SMALL(H136:H140,1))</f>
        <v>-</v>
      </c>
      <c r="J136" s="22"/>
      <c r="AZ136" s="30">
        <v>1156</v>
      </c>
    </row>
    <row r="137" spans="1:52" ht="15" customHeight="1">
      <c r="A137" s="31"/>
      <c r="B137" s="33"/>
      <c r="C137" s="34"/>
      <c r="D137" s="35">
        <f>IF(ISERROR(VLOOKUP($C137,'START LİSTE'!$B$6:$G$1006,2,0)),"",VLOOKUP($C137,'START LİSTE'!$B$6:$G$1006,2,0))</f>
      </c>
      <c r="E137" s="36">
        <f>IF(ISERROR(VLOOKUP($C137,'START LİSTE'!$B$6:$G$1006,4,0)),"",VLOOKUP($C137,'START LİSTE'!$B$6:$G$1006,4,0))</f>
      </c>
      <c r="F137" s="131">
        <f>IF(ISERROR(VLOOKUP($C137,'FERDİ SONUÇ'!$B$6:$H$819,6,0)),"",VLOOKUP($C137,'FERDİ SONUÇ'!$B$6:$H$819,6,0))</f>
      </c>
      <c r="G137" s="36" t="str">
        <f>IF(OR(E137="",F137="DQ",F137="DNF",F137="DNS",F137=""),"-",VLOOKUP(C137,'FERDİ SONUÇ'!$B$6:$H$819,7,0))</f>
        <v>-</v>
      </c>
      <c r="H137" s="36" t="str">
        <f>IF(OR(E137="",E137="F",F137="DQ",F137="DNF",F137="DNS",F137=""),"-",VLOOKUP(C137,'FERDİ SONUÇ'!$B$6:$H$819,7,0))</f>
        <v>-</v>
      </c>
      <c r="I137" s="38" t="str">
        <f>IF(ISERROR(SMALL(H136:H140,2)),"-",SMALL(H136:H140,2))</f>
        <v>-</v>
      </c>
      <c r="J137" s="32"/>
      <c r="AZ137" s="30">
        <v>1157</v>
      </c>
    </row>
    <row r="138" spans="1:52" ht="15" customHeight="1">
      <c r="A138" s="44">
        <f>IF(AND(B138&lt;&gt;"",J138&lt;&gt;"DQ"),COUNT(J$6:J$305)-(RANK(J138,J$6:J$305)+COUNTIF(J$6:J138,J138))+2,IF(C136&lt;&gt;"",AZ138,""))</f>
      </c>
      <c r="B138" s="33">
        <f>IF(ISERROR(VLOOKUP(C136,'START LİSTE'!$B$6:$G$1006,3,0)),"",VLOOKUP(C136,'START LİSTE'!$B$6:$G$1006,3,0))</f>
      </c>
      <c r="C138" s="34"/>
      <c r="D138" s="35">
        <f>IF(ISERROR(VLOOKUP($C138,'START LİSTE'!$B$6:$G$1006,2,0)),"",VLOOKUP($C138,'START LİSTE'!$B$6:$G$1006,2,0))</f>
      </c>
      <c r="E138" s="36">
        <f>IF(ISERROR(VLOOKUP($C138,'START LİSTE'!$B$6:$G$1006,4,0)),"",VLOOKUP($C138,'START LİSTE'!$B$6:$G$1006,4,0))</f>
      </c>
      <c r="F138" s="131">
        <f>IF(ISERROR(VLOOKUP($C138,'FERDİ SONUÇ'!$B$6:$H$819,6,0)),"",VLOOKUP($C138,'FERDİ SONUÇ'!$B$6:$H$819,6,0))</f>
      </c>
      <c r="G138" s="36" t="str">
        <f>IF(OR(E138="",F138="DQ",F138="DNF",F138="DNS",F138=""),"-",VLOOKUP(C138,'FERDİ SONUÇ'!$B$6:$H$819,7,0))</f>
        <v>-</v>
      </c>
      <c r="H138" s="36" t="str">
        <f>IF(OR(E138="",E138="F",F138="DQ",F138="DNF",F138="DNS",F138=""),"-",VLOOKUP(C138,'FERDİ SONUÇ'!$B$6:$H$819,7,0))</f>
        <v>-</v>
      </c>
      <c r="I138" s="38" t="str">
        <f>IF(ISERROR(SMALL(H136:H140,3)),"-",SMALL(H136:H140,3))</f>
        <v>-</v>
      </c>
      <c r="J138" s="43">
        <f>IF(C136="","",IF(OR(I136="-",I137="-",I138="-",I139="-"),"DQ",SUM(I136,I137,I138,I139)))</f>
      </c>
      <c r="AZ138" s="30">
        <v>1158</v>
      </c>
    </row>
    <row r="139" spans="1:52" ht="15" customHeight="1">
      <c r="A139" s="31"/>
      <c r="B139" s="33"/>
      <c r="C139" s="34"/>
      <c r="D139" s="35">
        <f>IF(ISERROR(VLOOKUP($C139,'START LİSTE'!$B$6:$G$1006,2,0)),"",VLOOKUP($C139,'START LİSTE'!$B$6:$G$1006,2,0))</f>
      </c>
      <c r="E139" s="36">
        <f>IF(ISERROR(VLOOKUP($C139,'START LİSTE'!$B$6:$G$1006,4,0)),"",VLOOKUP($C139,'START LİSTE'!$B$6:$G$1006,4,0))</f>
      </c>
      <c r="F139" s="131">
        <f>IF(ISERROR(VLOOKUP($C139,'FERDİ SONUÇ'!$B$6:$H$819,6,0)),"",VLOOKUP($C139,'FERDİ SONUÇ'!$B$6:$H$819,6,0))</f>
      </c>
      <c r="G139" s="36" t="str">
        <f>IF(OR(E139="",F139="DQ",F139="DNF",F139="DNS",F139=""),"-",VLOOKUP(C139,'FERDİ SONUÇ'!$B$6:$H$819,7,0))</f>
        <v>-</v>
      </c>
      <c r="H139" s="36" t="str">
        <f>IF(OR(E139="",E139="F",F139="DQ",F139="DNF",F139="DNS",F139=""),"-",VLOOKUP(C139,'FERDİ SONUÇ'!$B$6:$H$819,7,0))</f>
        <v>-</v>
      </c>
      <c r="I139" s="38" t="str">
        <f>IF(ISERROR(SMALL(H136:H140,4)),"-",SMALL(H136:H140,4))</f>
        <v>-</v>
      </c>
      <c r="J139" s="32"/>
      <c r="AZ139" s="30">
        <v>1159</v>
      </c>
    </row>
    <row r="140" spans="1:52" ht="15" customHeight="1">
      <c r="A140" s="31"/>
      <c r="B140" s="33"/>
      <c r="C140" s="47"/>
      <c r="D140" s="35">
        <f>IF(ISERROR(VLOOKUP($C140,'START LİSTE'!$B$6:$G$1006,2,0)),"",VLOOKUP($C140,'START LİSTE'!$B$6:$G$1006,2,0))</f>
      </c>
      <c r="E140" s="36">
        <f>IF(ISERROR(VLOOKUP($C140,'START LİSTE'!$B$6:$G$1006,4,0)),"",VLOOKUP($C140,'START LİSTE'!$B$6:$G$1006,4,0))</f>
      </c>
      <c r="F140" s="131">
        <f>IF(ISERROR(VLOOKUP($C140,'FERDİ SONUÇ'!$B$6:$H$819,6,0)),"",VLOOKUP($C140,'FERDİ SONUÇ'!$B$6:$H$819,6,0))</f>
      </c>
      <c r="G140" s="36" t="str">
        <f>IF(OR(E140="",F140="DQ",F140="DNF",F140="DNS",F140=""),"-",VLOOKUP(C140,'FERDİ SONUÇ'!$B$6:$H$819,7,0))</f>
        <v>-</v>
      </c>
      <c r="H140" s="36" t="str">
        <f>IF(OR(E140="",E140="F",F140="DQ",F140="DNF",F140="DNS",F140=""),"-",VLOOKUP(C140,'FERDİ SONUÇ'!$B$6:$H$819,7,0))</f>
        <v>-</v>
      </c>
      <c r="I140" s="38" t="str">
        <f>IF(ISERROR(SMALL(H136:H140,5)),"-",SMALL(H136:H140,5))</f>
        <v>-</v>
      </c>
      <c r="J140" s="32"/>
      <c r="AZ140" s="30">
        <v>1160</v>
      </c>
    </row>
    <row r="141" spans="1:52" ht="15" customHeight="1">
      <c r="A141" s="21"/>
      <c r="B141" s="23"/>
      <c r="C141" s="46"/>
      <c r="D141" s="25">
        <f>IF(ISERROR(VLOOKUP($C141,'START LİSTE'!$B$6:$G$1006,2,0)),"",VLOOKUP($C141,'START LİSTE'!$B$6:$G$1006,2,0))</f>
      </c>
      <c r="E141" s="26">
        <f>IF(ISERROR(VLOOKUP($C141,'START LİSTE'!$B$6:$G$1006,4,0)),"",VLOOKUP($C141,'START LİSTE'!$B$6:$G$1006,4,0))</f>
      </c>
      <c r="F141" s="130">
        <f>IF(ISERROR(VLOOKUP($C141,'FERDİ SONUÇ'!$B$6:$H$819,6,0)),"",VLOOKUP($C141,'FERDİ SONUÇ'!$B$6:$H$819,6,0))</f>
      </c>
      <c r="G141" s="26" t="str">
        <f>IF(OR(E141="",F141="DQ",F141="DNF",F141="DNS",F141=""),"-",VLOOKUP(C141,'FERDİ SONUÇ'!$B$6:$H$819,7,0))</f>
        <v>-</v>
      </c>
      <c r="H141" s="26" t="str">
        <f>IF(OR(E141="",E141="F",F141="DQ",F141="DNF",F141="DNS",F141=""),"-",VLOOKUP(C141,'FERDİ SONUÇ'!$B$6:$H$819,7,0))</f>
        <v>-</v>
      </c>
      <c r="I141" s="28" t="str">
        <f>IF(ISERROR(SMALL(H141:H145,1)),"-",SMALL(H141:H145,1))</f>
        <v>-</v>
      </c>
      <c r="J141" s="22"/>
      <c r="AZ141" s="30">
        <v>1162</v>
      </c>
    </row>
    <row r="142" spans="1:52" ht="15" customHeight="1">
      <c r="A142" s="31"/>
      <c r="B142" s="33"/>
      <c r="C142" s="34"/>
      <c r="D142" s="35">
        <f>IF(ISERROR(VLOOKUP($C142,'START LİSTE'!$B$6:$G$1006,2,0)),"",VLOOKUP($C142,'START LİSTE'!$B$6:$G$1006,2,0))</f>
      </c>
      <c r="E142" s="36">
        <f>IF(ISERROR(VLOOKUP($C142,'START LİSTE'!$B$6:$G$1006,4,0)),"",VLOOKUP($C142,'START LİSTE'!$B$6:$G$1006,4,0))</f>
      </c>
      <c r="F142" s="131">
        <f>IF(ISERROR(VLOOKUP($C142,'FERDİ SONUÇ'!$B$6:$H$819,6,0)),"",VLOOKUP($C142,'FERDİ SONUÇ'!$B$6:$H$819,6,0))</f>
      </c>
      <c r="G142" s="36" t="str">
        <f>IF(OR(E142="",F142="DQ",F142="DNF",F142="DNS",F142=""),"-",VLOOKUP(C142,'FERDİ SONUÇ'!$B$6:$H$819,7,0))</f>
        <v>-</v>
      </c>
      <c r="H142" s="36" t="str">
        <f>IF(OR(E142="",E142="F",F142="DQ",F142="DNF",F142="DNS",F142=""),"-",VLOOKUP(C142,'FERDİ SONUÇ'!$B$6:$H$819,7,0))</f>
        <v>-</v>
      </c>
      <c r="I142" s="38" t="str">
        <f>IF(ISERROR(SMALL(H141:H145,2)),"-",SMALL(H141:H145,2))</f>
        <v>-</v>
      </c>
      <c r="J142" s="32"/>
      <c r="AZ142" s="30">
        <v>1163</v>
      </c>
    </row>
    <row r="143" spans="1:52" ht="15" customHeight="1">
      <c r="A143" s="44">
        <f>IF(AND(B143&lt;&gt;"",J143&lt;&gt;"DQ"),COUNT(J$6:J$305)-(RANK(J143,J$6:J$305)+COUNTIF(J$6:J143,J143))+2,IF(C141&lt;&gt;"",AZ143,""))</f>
      </c>
      <c r="B143" s="33">
        <f>IF(ISERROR(VLOOKUP(C141,'START LİSTE'!$B$6:$G$1006,3,0)),"",VLOOKUP(C141,'START LİSTE'!$B$6:$G$1006,3,0))</f>
      </c>
      <c r="C143" s="34"/>
      <c r="D143" s="35">
        <f>IF(ISERROR(VLOOKUP($C143,'START LİSTE'!$B$6:$G$1006,2,0)),"",VLOOKUP($C143,'START LİSTE'!$B$6:$G$1006,2,0))</f>
      </c>
      <c r="E143" s="36">
        <f>IF(ISERROR(VLOOKUP($C143,'START LİSTE'!$B$6:$G$1006,4,0)),"",VLOOKUP($C143,'START LİSTE'!$B$6:$G$1006,4,0))</f>
      </c>
      <c r="F143" s="131">
        <f>IF(ISERROR(VLOOKUP($C143,'FERDİ SONUÇ'!$B$6:$H$819,6,0)),"",VLOOKUP($C143,'FERDİ SONUÇ'!$B$6:$H$819,6,0))</f>
      </c>
      <c r="G143" s="36" t="str">
        <f>IF(OR(E143="",F143="DQ",F143="DNF",F143="DNS",F143=""),"-",VLOOKUP(C143,'FERDİ SONUÇ'!$B$6:$H$819,7,0))</f>
        <v>-</v>
      </c>
      <c r="H143" s="36" t="str">
        <f>IF(OR(E143="",E143="F",F143="DQ",F143="DNF",F143="DNS",F143=""),"-",VLOOKUP(C143,'FERDİ SONUÇ'!$B$6:$H$819,7,0))</f>
        <v>-</v>
      </c>
      <c r="I143" s="38" t="str">
        <f>IF(ISERROR(SMALL(H141:H145,3)),"-",SMALL(H141:H145,3))</f>
        <v>-</v>
      </c>
      <c r="J143" s="43">
        <f>IF(C141="","",IF(OR(I141="-",I142="-",I143="-",I144="-"),"DQ",SUM(I141,I142,I143,I144)))</f>
      </c>
      <c r="AZ143" s="30">
        <v>1164</v>
      </c>
    </row>
    <row r="144" spans="1:52" ht="15" customHeight="1">
      <c r="A144" s="31"/>
      <c r="B144" s="33"/>
      <c r="C144" s="34"/>
      <c r="D144" s="35">
        <f>IF(ISERROR(VLOOKUP($C144,'START LİSTE'!$B$6:$G$1006,2,0)),"",VLOOKUP($C144,'START LİSTE'!$B$6:$G$1006,2,0))</f>
      </c>
      <c r="E144" s="36">
        <f>IF(ISERROR(VLOOKUP($C144,'START LİSTE'!$B$6:$G$1006,4,0)),"",VLOOKUP($C144,'START LİSTE'!$B$6:$G$1006,4,0))</f>
      </c>
      <c r="F144" s="131">
        <f>IF(ISERROR(VLOOKUP($C144,'FERDİ SONUÇ'!$B$6:$H$819,6,0)),"",VLOOKUP($C144,'FERDİ SONUÇ'!$B$6:$H$819,6,0))</f>
      </c>
      <c r="G144" s="36" t="str">
        <f>IF(OR(E144="",F144="DQ",F144="DNF",F144="DNS",F144=""),"-",VLOOKUP(C144,'FERDİ SONUÇ'!$B$6:$H$819,7,0))</f>
        <v>-</v>
      </c>
      <c r="H144" s="36" t="str">
        <f>IF(OR(E144="",E144="F",F144="DQ",F144="DNF",F144="DNS",F144=""),"-",VLOOKUP(C144,'FERDİ SONUÇ'!$B$6:$H$819,7,0))</f>
        <v>-</v>
      </c>
      <c r="I144" s="38" t="str">
        <f>IF(ISERROR(SMALL(H141:H145,4)),"-",SMALL(H141:H145,4))</f>
        <v>-</v>
      </c>
      <c r="J144" s="32"/>
      <c r="AZ144" s="30">
        <v>1165</v>
      </c>
    </row>
    <row r="145" spans="1:52" ht="15" customHeight="1">
      <c r="A145" s="31"/>
      <c r="B145" s="33"/>
      <c r="C145" s="47"/>
      <c r="D145" s="35">
        <f>IF(ISERROR(VLOOKUP($C145,'START LİSTE'!$B$6:$G$1006,2,0)),"",VLOOKUP($C145,'START LİSTE'!$B$6:$G$1006,2,0))</f>
      </c>
      <c r="E145" s="36">
        <f>IF(ISERROR(VLOOKUP($C145,'START LİSTE'!$B$6:$G$1006,4,0)),"",VLOOKUP($C145,'START LİSTE'!$B$6:$G$1006,4,0))</f>
      </c>
      <c r="F145" s="131">
        <f>IF(ISERROR(VLOOKUP($C145,'FERDİ SONUÇ'!$B$6:$H$819,6,0)),"",VLOOKUP($C145,'FERDİ SONUÇ'!$B$6:$H$819,6,0))</f>
      </c>
      <c r="G145" s="36" t="str">
        <f>IF(OR(E145="",F145="DQ",F145="DNF",F145="DNS",F145=""),"-",VLOOKUP(C145,'FERDİ SONUÇ'!$B$6:$H$819,7,0))</f>
        <v>-</v>
      </c>
      <c r="H145" s="36" t="str">
        <f>IF(OR(E145="",E145="F",F145="DQ",F145="DNF",F145="DNS",F145=""),"-",VLOOKUP(C145,'FERDİ SONUÇ'!$B$6:$H$819,7,0))</f>
        <v>-</v>
      </c>
      <c r="I145" s="38" t="str">
        <f>IF(ISERROR(SMALL(H141:H145,5)),"-",SMALL(H141:H145,5))</f>
        <v>-</v>
      </c>
      <c r="J145" s="32"/>
      <c r="AZ145" s="30">
        <v>1166</v>
      </c>
    </row>
    <row r="146" spans="1:52" ht="15" customHeight="1">
      <c r="A146" s="21"/>
      <c r="B146" s="23"/>
      <c r="C146" s="46"/>
      <c r="D146" s="25">
        <f>IF(ISERROR(VLOOKUP($C146,'START LİSTE'!$B$6:$G$1006,2,0)),"",VLOOKUP($C146,'START LİSTE'!$B$6:$G$1006,2,0))</f>
      </c>
      <c r="E146" s="26">
        <f>IF(ISERROR(VLOOKUP($C146,'START LİSTE'!$B$6:$G$1006,4,0)),"",VLOOKUP($C146,'START LİSTE'!$B$6:$G$1006,4,0))</f>
      </c>
      <c r="F146" s="130">
        <f>IF(ISERROR(VLOOKUP($C146,'FERDİ SONUÇ'!$B$6:$H$819,6,0)),"",VLOOKUP($C146,'FERDİ SONUÇ'!$B$6:$H$819,6,0))</f>
      </c>
      <c r="G146" s="26" t="str">
        <f>IF(OR(E146="",F146="DQ",F146="DNF",F146="DNS",F146=""),"-",VLOOKUP(C146,'FERDİ SONUÇ'!$B$6:$H$819,7,0))</f>
        <v>-</v>
      </c>
      <c r="H146" s="26" t="str">
        <f>IF(OR(E146="",E146="F",F146="DQ",F146="DNF",F146="DNS",F146=""),"-",VLOOKUP(C146,'FERDİ SONUÇ'!$B$6:$H$819,7,0))</f>
        <v>-</v>
      </c>
      <c r="I146" s="28" t="str">
        <f>IF(ISERROR(SMALL(H146:H150,1)),"-",SMALL(H146:H150,1))</f>
        <v>-</v>
      </c>
      <c r="J146" s="22"/>
      <c r="AZ146" s="30">
        <v>1168</v>
      </c>
    </row>
    <row r="147" spans="1:52" ht="15" customHeight="1">
      <c r="A147" s="31"/>
      <c r="B147" s="33"/>
      <c r="C147" s="34"/>
      <c r="D147" s="35">
        <f>IF(ISERROR(VLOOKUP($C147,'START LİSTE'!$B$6:$G$1006,2,0)),"",VLOOKUP($C147,'START LİSTE'!$B$6:$G$1006,2,0))</f>
      </c>
      <c r="E147" s="36">
        <f>IF(ISERROR(VLOOKUP($C147,'START LİSTE'!$B$6:$G$1006,4,0)),"",VLOOKUP($C147,'START LİSTE'!$B$6:$G$1006,4,0))</f>
      </c>
      <c r="F147" s="131">
        <f>IF(ISERROR(VLOOKUP($C147,'FERDİ SONUÇ'!$B$6:$H$819,6,0)),"",VLOOKUP($C147,'FERDİ SONUÇ'!$B$6:$H$819,6,0))</f>
      </c>
      <c r="G147" s="36" t="str">
        <f>IF(OR(E147="",F147="DQ",F147="DNF",F147="DNS",F147=""),"-",VLOOKUP(C147,'FERDİ SONUÇ'!$B$6:$H$819,7,0))</f>
        <v>-</v>
      </c>
      <c r="H147" s="36" t="str">
        <f>IF(OR(E147="",E147="F",F147="DQ",F147="DNF",F147="DNS",F147=""),"-",VLOOKUP(C147,'FERDİ SONUÇ'!$B$6:$H$819,7,0))</f>
        <v>-</v>
      </c>
      <c r="I147" s="38" t="str">
        <f>IF(ISERROR(SMALL(H146:H150,2)),"-",SMALL(H146:H150,2))</f>
        <v>-</v>
      </c>
      <c r="J147" s="32"/>
      <c r="AZ147" s="30">
        <v>1169</v>
      </c>
    </row>
    <row r="148" spans="1:52" ht="15" customHeight="1">
      <c r="A148" s="44">
        <f>IF(AND(B148&lt;&gt;"",J148&lt;&gt;"DQ"),COUNT(J$6:J$305)-(RANK(J148,J$6:J$305)+COUNTIF(J$6:J148,J148))+2,IF(C146&lt;&gt;"",AZ148,""))</f>
      </c>
      <c r="B148" s="33">
        <f>IF(ISERROR(VLOOKUP(C146,'START LİSTE'!$B$6:$G$1006,3,0)),"",VLOOKUP(C146,'START LİSTE'!$B$6:$G$1006,3,0))</f>
      </c>
      <c r="C148" s="34"/>
      <c r="D148" s="35">
        <f>IF(ISERROR(VLOOKUP($C148,'START LİSTE'!$B$6:$G$1006,2,0)),"",VLOOKUP($C148,'START LİSTE'!$B$6:$G$1006,2,0))</f>
      </c>
      <c r="E148" s="36">
        <f>IF(ISERROR(VLOOKUP($C148,'START LİSTE'!$B$6:$G$1006,4,0)),"",VLOOKUP($C148,'START LİSTE'!$B$6:$G$1006,4,0))</f>
      </c>
      <c r="F148" s="131">
        <f>IF(ISERROR(VLOOKUP($C148,'FERDİ SONUÇ'!$B$6:$H$819,6,0)),"",VLOOKUP($C148,'FERDİ SONUÇ'!$B$6:$H$819,6,0))</f>
      </c>
      <c r="G148" s="36" t="str">
        <f>IF(OR(E148="",F148="DQ",F148="DNF",F148="DNS",F148=""),"-",VLOOKUP(C148,'FERDİ SONUÇ'!$B$6:$H$819,7,0))</f>
        <v>-</v>
      </c>
      <c r="H148" s="36" t="str">
        <f>IF(OR(E148="",E148="F",F148="DQ",F148="DNF",F148="DNS",F148=""),"-",VLOOKUP(C148,'FERDİ SONUÇ'!$B$6:$H$819,7,0))</f>
        <v>-</v>
      </c>
      <c r="I148" s="38" t="str">
        <f>IF(ISERROR(SMALL(H146:H150,3)),"-",SMALL(H146:H150,3))</f>
        <v>-</v>
      </c>
      <c r="J148" s="43">
        <f>IF(C146="","",IF(OR(I146="-",I147="-",I148="-",I149="-"),"DQ",SUM(I146,I147,I148,I149)))</f>
      </c>
      <c r="AZ148" s="30">
        <v>1170</v>
      </c>
    </row>
    <row r="149" spans="1:52" ht="15" customHeight="1">
      <c r="A149" s="31"/>
      <c r="B149" s="33"/>
      <c r="C149" s="34"/>
      <c r="D149" s="35">
        <f>IF(ISERROR(VLOOKUP($C149,'START LİSTE'!$B$6:$G$1006,2,0)),"",VLOOKUP($C149,'START LİSTE'!$B$6:$G$1006,2,0))</f>
      </c>
      <c r="E149" s="36">
        <f>IF(ISERROR(VLOOKUP($C149,'START LİSTE'!$B$6:$G$1006,4,0)),"",VLOOKUP($C149,'START LİSTE'!$B$6:$G$1006,4,0))</f>
      </c>
      <c r="F149" s="131">
        <f>IF(ISERROR(VLOOKUP($C149,'FERDİ SONUÇ'!$B$6:$H$819,6,0)),"",VLOOKUP($C149,'FERDİ SONUÇ'!$B$6:$H$819,6,0))</f>
      </c>
      <c r="G149" s="36" t="str">
        <f>IF(OR(E149="",F149="DQ",F149="DNF",F149="DNS",F149=""),"-",VLOOKUP(C149,'FERDİ SONUÇ'!$B$6:$H$819,7,0))</f>
        <v>-</v>
      </c>
      <c r="H149" s="36" t="str">
        <f>IF(OR(E149="",E149="F",F149="DQ",F149="DNF",F149="DNS",F149=""),"-",VLOOKUP(C149,'FERDİ SONUÇ'!$B$6:$H$819,7,0))</f>
        <v>-</v>
      </c>
      <c r="I149" s="38" t="str">
        <f>IF(ISERROR(SMALL(H146:H150,4)),"-",SMALL(H146:H150,4))</f>
        <v>-</v>
      </c>
      <c r="J149" s="32"/>
      <c r="AZ149" s="30">
        <v>1171</v>
      </c>
    </row>
    <row r="150" spans="1:52" ht="15" customHeight="1">
      <c r="A150" s="31"/>
      <c r="B150" s="33"/>
      <c r="C150" s="47"/>
      <c r="D150" s="35">
        <f>IF(ISERROR(VLOOKUP($C150,'START LİSTE'!$B$6:$G$1006,2,0)),"",VLOOKUP($C150,'START LİSTE'!$B$6:$G$1006,2,0))</f>
      </c>
      <c r="E150" s="36">
        <f>IF(ISERROR(VLOOKUP($C150,'START LİSTE'!$B$6:$G$1006,4,0)),"",VLOOKUP($C150,'START LİSTE'!$B$6:$G$1006,4,0))</f>
      </c>
      <c r="F150" s="131">
        <f>IF(ISERROR(VLOOKUP($C150,'FERDİ SONUÇ'!$B$6:$H$819,6,0)),"",VLOOKUP($C150,'FERDİ SONUÇ'!$B$6:$H$819,6,0))</f>
      </c>
      <c r="G150" s="36" t="str">
        <f>IF(OR(E150="",F150="DQ",F150="DNF",F150="DNS",F150=""),"-",VLOOKUP(C150,'FERDİ SONUÇ'!$B$6:$H$819,7,0))</f>
        <v>-</v>
      </c>
      <c r="H150" s="36" t="str">
        <f>IF(OR(E150="",E150="F",F150="DQ",F150="DNF",F150="DNS",F150=""),"-",VLOOKUP(C150,'FERDİ SONUÇ'!$B$6:$H$819,7,0))</f>
        <v>-</v>
      </c>
      <c r="I150" s="38" t="str">
        <f>IF(ISERROR(SMALL(H146:H150,5)),"-",SMALL(H146:H150,5))</f>
        <v>-</v>
      </c>
      <c r="J150" s="32"/>
      <c r="AZ150" s="30">
        <v>1172</v>
      </c>
    </row>
    <row r="151" spans="1:52" ht="15" customHeight="1">
      <c r="A151" s="21"/>
      <c r="B151" s="23"/>
      <c r="C151" s="46"/>
      <c r="D151" s="25">
        <f>IF(ISERROR(VLOOKUP($C151,'START LİSTE'!$B$6:$G$1006,2,0)),"",VLOOKUP($C151,'START LİSTE'!$B$6:$G$1006,2,0))</f>
      </c>
      <c r="E151" s="26">
        <f>IF(ISERROR(VLOOKUP($C151,'START LİSTE'!$B$6:$G$1006,4,0)),"",VLOOKUP($C151,'START LİSTE'!$B$6:$G$1006,4,0))</f>
      </c>
      <c r="F151" s="130">
        <f>IF(ISERROR(VLOOKUP($C151,'FERDİ SONUÇ'!$B$6:$H$819,6,0)),"",VLOOKUP($C151,'FERDİ SONUÇ'!$B$6:$H$819,6,0))</f>
      </c>
      <c r="G151" s="26" t="str">
        <f>IF(OR(E151="",F151="DQ",F151="DNF",F151="DNS",F151=""),"-",VLOOKUP(C151,'FERDİ SONUÇ'!$B$6:$H$819,7,0))</f>
        <v>-</v>
      </c>
      <c r="H151" s="26" t="str">
        <f>IF(OR(E151="",E151="F",F151="DQ",F151="DNF",F151="DNS",F151=""),"-",VLOOKUP(C151,'FERDİ SONUÇ'!$B$6:$H$819,7,0))</f>
        <v>-</v>
      </c>
      <c r="I151" s="28" t="str">
        <f>IF(ISERROR(SMALL(H151:H155,1)),"-",SMALL(H151:H155,1))</f>
        <v>-</v>
      </c>
      <c r="J151" s="22"/>
      <c r="AZ151" s="30">
        <v>1174</v>
      </c>
    </row>
    <row r="152" spans="1:52" ht="15" customHeight="1">
      <c r="A152" s="31"/>
      <c r="B152" s="33"/>
      <c r="C152" s="34"/>
      <c r="D152" s="35">
        <f>IF(ISERROR(VLOOKUP($C152,'START LİSTE'!$B$6:$G$1006,2,0)),"",VLOOKUP($C152,'START LİSTE'!$B$6:$G$1006,2,0))</f>
      </c>
      <c r="E152" s="36">
        <f>IF(ISERROR(VLOOKUP($C152,'START LİSTE'!$B$6:$G$1006,4,0)),"",VLOOKUP($C152,'START LİSTE'!$B$6:$G$1006,4,0))</f>
      </c>
      <c r="F152" s="131">
        <f>IF(ISERROR(VLOOKUP($C152,'FERDİ SONUÇ'!$B$6:$H$819,6,0)),"",VLOOKUP($C152,'FERDİ SONUÇ'!$B$6:$H$819,6,0))</f>
      </c>
      <c r="G152" s="36" t="str">
        <f>IF(OR(E152="",F152="DQ",F152="DNF",F152="DNS",F152=""),"-",VLOOKUP(C152,'FERDİ SONUÇ'!$B$6:$H$819,7,0))</f>
        <v>-</v>
      </c>
      <c r="H152" s="36" t="str">
        <f>IF(OR(E152="",E152="F",F152="DQ",F152="DNF",F152="DNS",F152=""),"-",VLOOKUP(C152,'FERDİ SONUÇ'!$B$6:$H$819,7,0))</f>
        <v>-</v>
      </c>
      <c r="I152" s="38" t="str">
        <f>IF(ISERROR(SMALL(H151:H155,2)),"-",SMALL(H151:H155,2))</f>
        <v>-</v>
      </c>
      <c r="J152" s="32"/>
      <c r="AZ152" s="30">
        <v>1175</v>
      </c>
    </row>
    <row r="153" spans="1:52" ht="15" customHeight="1">
      <c r="A153" s="44">
        <f>IF(AND(B153&lt;&gt;"",J153&lt;&gt;"DQ"),COUNT(J$6:J$305)-(RANK(J153,J$6:J$305)+COUNTIF(J$6:J153,J153))+2,IF(C151&lt;&gt;"",AZ153,""))</f>
      </c>
      <c r="B153" s="33">
        <f>IF(ISERROR(VLOOKUP(C151,'START LİSTE'!$B$6:$G$1006,3,0)),"",VLOOKUP(C151,'START LİSTE'!$B$6:$G$1006,3,0))</f>
      </c>
      <c r="C153" s="34"/>
      <c r="D153" s="35">
        <f>IF(ISERROR(VLOOKUP($C153,'START LİSTE'!$B$6:$G$1006,2,0)),"",VLOOKUP($C153,'START LİSTE'!$B$6:$G$1006,2,0))</f>
      </c>
      <c r="E153" s="36">
        <f>IF(ISERROR(VLOOKUP($C153,'START LİSTE'!$B$6:$G$1006,4,0)),"",VLOOKUP($C153,'START LİSTE'!$B$6:$G$1006,4,0))</f>
      </c>
      <c r="F153" s="131">
        <f>IF(ISERROR(VLOOKUP($C153,'FERDİ SONUÇ'!$B$6:$H$819,6,0)),"",VLOOKUP($C153,'FERDİ SONUÇ'!$B$6:$H$819,6,0))</f>
      </c>
      <c r="G153" s="36" t="str">
        <f>IF(OR(E153="",F153="DQ",F153="DNF",F153="DNS",F153=""),"-",VLOOKUP(C153,'FERDİ SONUÇ'!$B$6:$H$819,7,0))</f>
        <v>-</v>
      </c>
      <c r="H153" s="36" t="str">
        <f>IF(OR(E153="",E153="F",F153="DQ",F153="DNF",F153="DNS",F153=""),"-",VLOOKUP(C153,'FERDİ SONUÇ'!$B$6:$H$819,7,0))</f>
        <v>-</v>
      </c>
      <c r="I153" s="38" t="str">
        <f>IF(ISERROR(SMALL(H151:H155,3)),"-",SMALL(H151:H155,3))</f>
        <v>-</v>
      </c>
      <c r="J153" s="43">
        <f>IF(C151="","",IF(OR(I151="-",I152="-",I153="-",I154="-"),"DQ",SUM(I151,I152,I153,I154)))</f>
      </c>
      <c r="AZ153" s="30">
        <v>1176</v>
      </c>
    </row>
    <row r="154" spans="1:52" ht="15" customHeight="1">
      <c r="A154" s="31"/>
      <c r="B154" s="33"/>
      <c r="C154" s="34"/>
      <c r="D154" s="35">
        <f>IF(ISERROR(VLOOKUP($C154,'START LİSTE'!$B$6:$G$1006,2,0)),"",VLOOKUP($C154,'START LİSTE'!$B$6:$G$1006,2,0))</f>
      </c>
      <c r="E154" s="36">
        <f>IF(ISERROR(VLOOKUP($C154,'START LİSTE'!$B$6:$G$1006,4,0)),"",VLOOKUP($C154,'START LİSTE'!$B$6:$G$1006,4,0))</f>
      </c>
      <c r="F154" s="131">
        <f>IF(ISERROR(VLOOKUP($C154,'FERDİ SONUÇ'!$B$6:$H$819,6,0)),"",VLOOKUP($C154,'FERDİ SONUÇ'!$B$6:$H$819,6,0))</f>
      </c>
      <c r="G154" s="36" t="str">
        <f>IF(OR(E154="",F154="DQ",F154="DNF",F154="DNS",F154=""),"-",VLOOKUP(C154,'FERDİ SONUÇ'!$B$6:$H$819,7,0))</f>
        <v>-</v>
      </c>
      <c r="H154" s="36" t="str">
        <f>IF(OR(E154="",E154="F",F154="DQ",F154="DNF",F154="DNS",F154=""),"-",VLOOKUP(C154,'FERDİ SONUÇ'!$B$6:$H$819,7,0))</f>
        <v>-</v>
      </c>
      <c r="I154" s="38" t="str">
        <f>IF(ISERROR(SMALL(H151:H155,4)),"-",SMALL(H151:H155,4))</f>
        <v>-</v>
      </c>
      <c r="J154" s="32"/>
      <c r="AZ154" s="30">
        <v>1177</v>
      </c>
    </row>
    <row r="155" spans="1:52" ht="15" customHeight="1">
      <c r="A155" s="31"/>
      <c r="B155" s="33"/>
      <c r="C155" s="47"/>
      <c r="D155" s="56">
        <f>IF(ISERROR(VLOOKUP($C155,'START LİSTE'!$B$6:$G$1006,2,0)),"",VLOOKUP($C155,'START LİSTE'!$B$6:$G$1006,2,0))</f>
      </c>
      <c r="E155" s="36">
        <f>IF(ISERROR(VLOOKUP($C155,'START LİSTE'!$B$6:$G$1006,4,0)),"",VLOOKUP($C155,'START LİSTE'!$B$6:$G$1006,4,0))</f>
      </c>
      <c r="F155" s="131">
        <f>IF(ISERROR(VLOOKUP($C155,'FERDİ SONUÇ'!$B$6:$H$819,6,0)),"",VLOOKUP($C155,'FERDİ SONUÇ'!$B$6:$H$819,6,0))</f>
      </c>
      <c r="G155" s="36" t="str">
        <f>IF(OR(E155="",F155="DQ",F155="DNF",F155="DNS",F155=""),"-",VLOOKUP(C155,'FERDİ SONUÇ'!$B$6:$H$819,7,0))</f>
        <v>-</v>
      </c>
      <c r="H155" s="36" t="str">
        <f>IF(OR(E155="",E155="F",F155="DQ",F155="DNF",F155="DNS",F155=""),"-",VLOOKUP(C155,'FERDİ SONUÇ'!$B$6:$H$819,7,0))</f>
        <v>-</v>
      </c>
      <c r="I155" s="38" t="str">
        <f>IF(ISERROR(SMALL(H151:H155,5)),"-",SMALL(H151:H155,5))</f>
        <v>-</v>
      </c>
      <c r="J155" s="32"/>
      <c r="AZ155" s="30">
        <v>1178</v>
      </c>
    </row>
    <row r="156" spans="1:52" s="29" customFormat="1" ht="15" customHeight="1">
      <c r="A156" s="21"/>
      <c r="B156" s="23"/>
      <c r="C156" s="24"/>
      <c r="D156" s="54">
        <f>IF(ISERROR(VLOOKUP($C156,'START LİSTE'!$B$6:$G$1006,2,0)),"",VLOOKUP($C156,'START LİSTE'!$B$6:$G$1006,2,0))</f>
      </c>
      <c r="E156" s="26">
        <f>IF(ISERROR(VLOOKUP($C156,'START LİSTE'!$B$6:$G$1006,4,0)),"",VLOOKUP($C156,'START LİSTE'!$B$6:$G$1006,4,0))</f>
      </c>
      <c r="F156" s="130">
        <f>IF(ISERROR(VLOOKUP($C156,'FERDİ SONUÇ'!$B$6:$H$819,6,0)),"",VLOOKUP($C156,'FERDİ SONUÇ'!$B$6:$H$819,6,0))</f>
      </c>
      <c r="G156" s="27" t="str">
        <f>IF(OR(E156="",F156="DQ",F156="DNF",F156="DNS",F156=""),"-",VLOOKUP(C156,'FERDİ SONUÇ'!$B$6:$H$819,7,0))</f>
        <v>-</v>
      </c>
      <c r="H156" s="27" t="str">
        <f>IF(OR(E156="",E156="F",F156="DQ",F156="DNF",F156="DNS",F156=""),"-",VLOOKUP(C156,'FERDİ SONUÇ'!$B$6:$H$819,7,0))</f>
        <v>-</v>
      </c>
      <c r="I156" s="28" t="str">
        <f>IF(ISERROR(SMALL(H156:H160,1)),"-",SMALL(H156:H160,1))</f>
        <v>-</v>
      </c>
      <c r="J156" s="22"/>
      <c r="AZ156" s="30">
        <v>1180</v>
      </c>
    </row>
    <row r="157" spans="1:52" s="29" customFormat="1" ht="15" customHeight="1">
      <c r="A157" s="31"/>
      <c r="B157" s="33"/>
      <c r="C157" s="34"/>
      <c r="D157" s="35">
        <f>IF(ISERROR(VLOOKUP($C157,'START LİSTE'!$B$6:$G$1006,2,0)),"",VLOOKUP($C157,'START LİSTE'!$B$6:$G$1006,2,0))</f>
      </c>
      <c r="E157" s="36">
        <f>IF(ISERROR(VLOOKUP($C157,'START LİSTE'!$B$6:$G$1006,4,0)),"",VLOOKUP($C157,'START LİSTE'!$B$6:$G$1006,4,0))</f>
      </c>
      <c r="F157" s="131">
        <f>IF(ISERROR(VLOOKUP($C157,'FERDİ SONUÇ'!$B$6:$H$819,6,0)),"",VLOOKUP($C157,'FERDİ SONUÇ'!$B$6:$H$819,6,0))</f>
      </c>
      <c r="G157" s="37" t="str">
        <f>IF(OR(E157="",F157="DQ",F157="DNF",F157="DNS",F157=""),"-",VLOOKUP(C157,'FERDİ SONUÇ'!$B$6:$H$819,7,0))</f>
        <v>-</v>
      </c>
      <c r="H157" s="37" t="str">
        <f>IF(OR(E157="",E157="F",F157="DQ",F157="DNF",F157="DNS",F157=""),"-",VLOOKUP(C157,'FERDİ SONUÇ'!$B$6:$H$819,7,0))</f>
        <v>-</v>
      </c>
      <c r="I157" s="38" t="str">
        <f>IF(ISERROR(SMALL(H156:H160,2)),"-",SMALL(H156:H160,2))</f>
        <v>-</v>
      </c>
      <c r="J157" s="32"/>
      <c r="AZ157" s="30">
        <v>1181</v>
      </c>
    </row>
    <row r="158" spans="1:52" s="29" customFormat="1" ht="15" customHeight="1">
      <c r="A158" s="44">
        <f>IF(AND(B158&lt;&gt;"",J158&lt;&gt;"DQ"),COUNT(J$6:J$305)-(RANK(J158,J$6:J$305)+COUNTIF(J$6:J158,J158))+2,IF(C156&lt;&gt;"",AZ158,""))</f>
      </c>
      <c r="B158" s="33">
        <f>IF(ISERROR(VLOOKUP(C156,'START LİSTE'!$B$6:$G$1006,3,0)),"",VLOOKUP(C156,'START LİSTE'!$B$6:$G$1006,3,0))</f>
      </c>
      <c r="C158" s="34"/>
      <c r="D158" s="35">
        <f>IF(ISERROR(VLOOKUP($C158,'START LİSTE'!$B$6:$G$1006,2,0)),"",VLOOKUP($C158,'START LİSTE'!$B$6:$G$1006,2,0))</f>
      </c>
      <c r="E158" s="36">
        <f>IF(ISERROR(VLOOKUP($C158,'START LİSTE'!$B$6:$G$1006,4,0)),"",VLOOKUP($C158,'START LİSTE'!$B$6:$G$1006,4,0))</f>
      </c>
      <c r="F158" s="131">
        <f>IF(ISERROR(VLOOKUP($C158,'FERDİ SONUÇ'!$B$6:$H$819,6,0)),"",VLOOKUP($C158,'FERDİ SONUÇ'!$B$6:$H$819,6,0))</f>
      </c>
      <c r="G158" s="37" t="str">
        <f>IF(OR(E158="",F158="DQ",F158="DNF",F158="DNS",F158=""),"-",VLOOKUP(C158,'FERDİ SONUÇ'!$B$6:$H$819,7,0))</f>
        <v>-</v>
      </c>
      <c r="H158" s="37" t="str">
        <f>IF(OR(E158="",E158="F",F158="DQ",F158="DNF",F158="DNS",F158=""),"-",VLOOKUP(C158,'FERDİ SONUÇ'!$B$6:$H$819,7,0))</f>
        <v>-</v>
      </c>
      <c r="I158" s="38" t="str">
        <f>IF(ISERROR(SMALL(H156:H160,3)),"-",SMALL(H156:H160,3))</f>
        <v>-</v>
      </c>
      <c r="J158" s="43">
        <f>IF(C156="","",IF(OR(I156="-",I157="-",I158="-",I159="-"),"DQ",SUM(I156,I157,I158,I159)))</f>
      </c>
      <c r="AZ158" s="30">
        <v>1182</v>
      </c>
    </row>
    <row r="159" spans="1:52" s="29" customFormat="1" ht="15" customHeight="1">
      <c r="A159" s="31"/>
      <c r="B159" s="33"/>
      <c r="C159" s="34"/>
      <c r="D159" s="35">
        <f>IF(ISERROR(VLOOKUP($C159,'START LİSTE'!$B$6:$G$1006,2,0)),"",VLOOKUP($C159,'START LİSTE'!$B$6:$G$1006,2,0))</f>
      </c>
      <c r="E159" s="36">
        <f>IF(ISERROR(VLOOKUP($C159,'START LİSTE'!$B$6:$G$1006,4,0)),"",VLOOKUP($C159,'START LİSTE'!$B$6:$G$1006,4,0))</f>
      </c>
      <c r="F159" s="131">
        <f>IF(ISERROR(VLOOKUP($C159,'FERDİ SONUÇ'!$B$6:$H$819,6,0)),"",VLOOKUP($C159,'FERDİ SONUÇ'!$B$6:$H$819,6,0))</f>
      </c>
      <c r="G159" s="37" t="str">
        <f>IF(OR(E159="",F159="DQ",F159="DNF",F159="DNS",F159=""),"-",VLOOKUP(C159,'FERDİ SONUÇ'!$B$6:$H$819,7,0))</f>
        <v>-</v>
      </c>
      <c r="H159" s="37" t="str">
        <f>IF(OR(E159="",E159="F",F159="DQ",F159="DNF",F159="DNS",F159=""),"-",VLOOKUP(C159,'FERDİ SONUÇ'!$B$6:$H$819,7,0))</f>
        <v>-</v>
      </c>
      <c r="I159" s="38" t="str">
        <f>IF(ISERROR(SMALL(H156:H160,4)),"-",SMALL(H156:H160,4))</f>
        <v>-</v>
      </c>
      <c r="J159" s="32"/>
      <c r="AZ159" s="30">
        <v>1183</v>
      </c>
    </row>
    <row r="160" spans="1:52" s="29" customFormat="1" ht="15" customHeight="1">
      <c r="A160" s="31"/>
      <c r="B160" s="33"/>
      <c r="C160" s="47"/>
      <c r="D160" s="35">
        <f>IF(ISERROR(VLOOKUP($C160,'START LİSTE'!$B$6:$G$1006,2,0)),"",VLOOKUP($C160,'START LİSTE'!$B$6:$G$1006,2,0))</f>
      </c>
      <c r="E160" s="36">
        <f>IF(ISERROR(VLOOKUP($C160,'START LİSTE'!$B$6:$G$1006,4,0)),"",VLOOKUP($C160,'START LİSTE'!$B$6:$G$1006,4,0))</f>
      </c>
      <c r="F160" s="131">
        <f>IF(ISERROR(VLOOKUP($C160,'FERDİ SONUÇ'!$B$6:$H$819,6,0)),"",VLOOKUP($C160,'FERDİ SONUÇ'!$B$6:$H$819,6,0))</f>
      </c>
      <c r="G160" s="37" t="str">
        <f>IF(OR(E160="",F160="DQ",F160="DNF",F160="DNS",F160=""),"-",VLOOKUP(C160,'FERDİ SONUÇ'!$B$6:$H$819,7,0))</f>
        <v>-</v>
      </c>
      <c r="H160" s="37" t="str">
        <f>IF(OR(E160="",E160="F",F160="DQ",F160="DNF",F160="DNS",F160=""),"-",VLOOKUP(C160,'FERDİ SONUÇ'!$B$6:$H$819,7,0))</f>
        <v>-</v>
      </c>
      <c r="I160" s="38" t="str">
        <f>IF(ISERROR(SMALL(H156:H160,5)),"-",SMALL(H156:H160,5))</f>
        <v>-</v>
      </c>
      <c r="J160" s="32"/>
      <c r="AZ160" s="30">
        <v>1184</v>
      </c>
    </row>
    <row r="161" spans="1:52" ht="15" customHeight="1">
      <c r="A161" s="21"/>
      <c r="B161" s="23"/>
      <c r="C161" s="46"/>
      <c r="D161" s="25">
        <f>IF(ISERROR(VLOOKUP($C161,'START LİSTE'!$B$6:$G$1006,2,0)),"",VLOOKUP($C161,'START LİSTE'!$B$6:$G$1006,2,0))</f>
      </c>
      <c r="E161" s="26">
        <f>IF(ISERROR(VLOOKUP($C161,'START LİSTE'!$B$6:$G$1006,4,0)),"",VLOOKUP($C161,'START LİSTE'!$B$6:$G$1006,4,0))</f>
      </c>
      <c r="F161" s="130">
        <f>IF(ISERROR(VLOOKUP($C161,'FERDİ SONUÇ'!$B$6:$H$819,6,0)),"",VLOOKUP($C161,'FERDİ SONUÇ'!$B$6:$H$819,6,0))</f>
      </c>
      <c r="G161" s="27" t="str">
        <f>IF(OR(E161="",F161="DQ",F161="DNF",F161="DNS",F161=""),"-",VLOOKUP(C161,'FERDİ SONUÇ'!$B$6:$H$819,7,0))</f>
        <v>-</v>
      </c>
      <c r="H161" s="27" t="str">
        <f>IF(OR(E161="",E161="F",F161="DQ",F161="DNF",F161="DNS",F161=""),"-",VLOOKUP(C161,'FERDİ SONUÇ'!$B$6:$H$819,7,0))</f>
        <v>-</v>
      </c>
      <c r="I161" s="28" t="str">
        <f>IF(ISERROR(SMALL(H161:H165,1)),"-",SMALL(H161:H165,1))</f>
        <v>-</v>
      </c>
      <c r="J161" s="22"/>
      <c r="AZ161" s="30">
        <v>1186</v>
      </c>
    </row>
    <row r="162" spans="1:52" ht="15" customHeight="1">
      <c r="A162" s="31"/>
      <c r="B162" s="33"/>
      <c r="C162" s="34"/>
      <c r="D162" s="35">
        <f>IF(ISERROR(VLOOKUP($C162,'START LİSTE'!$B$6:$G$1006,2,0)),"",VLOOKUP($C162,'START LİSTE'!$B$6:$G$1006,2,0))</f>
      </c>
      <c r="E162" s="36">
        <f>IF(ISERROR(VLOOKUP($C162,'START LİSTE'!$B$6:$G$1006,4,0)),"",VLOOKUP($C162,'START LİSTE'!$B$6:$G$1006,4,0))</f>
      </c>
      <c r="F162" s="131">
        <f>IF(ISERROR(VLOOKUP($C162,'FERDİ SONUÇ'!$B$6:$H$819,6,0)),"",VLOOKUP($C162,'FERDİ SONUÇ'!$B$6:$H$819,6,0))</f>
      </c>
      <c r="G162" s="37" t="str">
        <f>IF(OR(E162="",F162="DQ",F162="DNF",F162="DNS",F162=""),"-",VLOOKUP(C162,'FERDİ SONUÇ'!$B$6:$H$819,7,0))</f>
        <v>-</v>
      </c>
      <c r="H162" s="37" t="str">
        <f>IF(OR(E162="",E162="F",F162="DQ",F162="DNF",F162="DNS",F162=""),"-",VLOOKUP(C162,'FERDİ SONUÇ'!$B$6:$H$819,7,0))</f>
        <v>-</v>
      </c>
      <c r="I162" s="38" t="str">
        <f>IF(ISERROR(SMALL(H161:H165,2)),"-",SMALL(H161:H165,2))</f>
        <v>-</v>
      </c>
      <c r="J162" s="32"/>
      <c r="AZ162" s="30">
        <v>1187</v>
      </c>
    </row>
    <row r="163" spans="1:52" ht="15" customHeight="1">
      <c r="A163" s="44">
        <f>IF(AND(B163&lt;&gt;"",J163&lt;&gt;"DQ"),COUNT(J$6:J$305)-(RANK(J163,J$6:J$305)+COUNTIF(J$6:J163,J163))+2,IF(C161&lt;&gt;"",AZ163,""))</f>
      </c>
      <c r="B163" s="33">
        <f>IF(ISERROR(VLOOKUP(C161,'START LİSTE'!$B$6:$G$1006,3,0)),"",VLOOKUP(C161,'START LİSTE'!$B$6:$G$1006,3,0))</f>
      </c>
      <c r="C163" s="34"/>
      <c r="D163" s="35">
        <f>IF(ISERROR(VLOOKUP($C163,'START LİSTE'!$B$6:$G$1006,2,0)),"",VLOOKUP($C163,'START LİSTE'!$B$6:$G$1006,2,0))</f>
      </c>
      <c r="E163" s="36">
        <f>IF(ISERROR(VLOOKUP($C163,'START LİSTE'!$B$6:$G$1006,4,0)),"",VLOOKUP($C163,'START LİSTE'!$B$6:$G$1006,4,0))</f>
      </c>
      <c r="F163" s="131">
        <f>IF(ISERROR(VLOOKUP($C163,'FERDİ SONUÇ'!$B$6:$H$819,6,0)),"",VLOOKUP($C163,'FERDİ SONUÇ'!$B$6:$H$819,6,0))</f>
      </c>
      <c r="G163" s="37" t="str">
        <f>IF(OR(E163="",F163="DQ",F163="DNF",F163="DNS",F163=""),"-",VLOOKUP(C163,'FERDİ SONUÇ'!$B$6:$H$819,7,0))</f>
        <v>-</v>
      </c>
      <c r="H163" s="37" t="str">
        <f>IF(OR(E163="",E163="F",F163="DQ",F163="DNF",F163="DNS",F163=""),"-",VLOOKUP(C163,'FERDİ SONUÇ'!$B$6:$H$819,7,0))</f>
        <v>-</v>
      </c>
      <c r="I163" s="38" t="str">
        <f>IF(ISERROR(SMALL(H161:H165,3)),"-",SMALL(H161:H165,3))</f>
        <v>-</v>
      </c>
      <c r="J163" s="43">
        <f>IF(C161="","",IF(OR(I161="-",I162="-",I163="-",I164="-"),"DQ",SUM(I161,I162,I163,I164)))</f>
      </c>
      <c r="AZ163" s="30">
        <v>1188</v>
      </c>
    </row>
    <row r="164" spans="1:52" ht="15" customHeight="1">
      <c r="A164" s="31"/>
      <c r="B164" s="33"/>
      <c r="C164" s="34"/>
      <c r="D164" s="35">
        <f>IF(ISERROR(VLOOKUP($C164,'START LİSTE'!$B$6:$G$1006,2,0)),"",VLOOKUP($C164,'START LİSTE'!$B$6:$G$1006,2,0))</f>
      </c>
      <c r="E164" s="36">
        <f>IF(ISERROR(VLOOKUP($C164,'START LİSTE'!$B$6:$G$1006,4,0)),"",VLOOKUP($C164,'START LİSTE'!$B$6:$G$1006,4,0))</f>
      </c>
      <c r="F164" s="131">
        <f>IF(ISERROR(VLOOKUP($C164,'FERDİ SONUÇ'!$B$6:$H$819,6,0)),"",VLOOKUP($C164,'FERDİ SONUÇ'!$B$6:$H$819,6,0))</f>
      </c>
      <c r="G164" s="37" t="str">
        <f>IF(OR(E164="",F164="DQ",F164="DNF",F164="DNS",F164=""),"-",VLOOKUP(C164,'FERDİ SONUÇ'!$B$6:$H$819,7,0))</f>
        <v>-</v>
      </c>
      <c r="H164" s="37" t="str">
        <f>IF(OR(E164="",E164="F",F164="DQ",F164="DNF",F164="DNS",F164=""),"-",VLOOKUP(C164,'FERDİ SONUÇ'!$B$6:$H$819,7,0))</f>
        <v>-</v>
      </c>
      <c r="I164" s="38" t="str">
        <f>IF(ISERROR(SMALL(H161:H165,4)),"-",SMALL(H161:H165,4))</f>
        <v>-</v>
      </c>
      <c r="J164" s="32"/>
      <c r="AZ164" s="30">
        <v>1189</v>
      </c>
    </row>
    <row r="165" spans="1:52" ht="15" customHeight="1">
      <c r="A165" s="31"/>
      <c r="B165" s="33"/>
      <c r="C165" s="47"/>
      <c r="D165" s="35">
        <f>IF(ISERROR(VLOOKUP($C165,'START LİSTE'!$B$6:$G$1006,2,0)),"",VLOOKUP($C165,'START LİSTE'!$B$6:$G$1006,2,0))</f>
      </c>
      <c r="E165" s="36">
        <f>IF(ISERROR(VLOOKUP($C165,'START LİSTE'!$B$6:$G$1006,4,0)),"",VLOOKUP($C165,'START LİSTE'!$B$6:$G$1006,4,0))</f>
      </c>
      <c r="F165" s="131">
        <f>IF(ISERROR(VLOOKUP($C165,'FERDİ SONUÇ'!$B$6:$H$819,6,0)),"",VLOOKUP($C165,'FERDİ SONUÇ'!$B$6:$H$819,6,0))</f>
      </c>
      <c r="G165" s="37" t="str">
        <f>IF(OR(E165="",F165="DQ",F165="DNF",F165="DNS",F165=""),"-",VLOOKUP(C165,'FERDİ SONUÇ'!$B$6:$H$819,7,0))</f>
        <v>-</v>
      </c>
      <c r="H165" s="37" t="str">
        <f>IF(OR(E165="",E165="F",F165="DQ",F165="DNF",F165="DNS",F165=""),"-",VLOOKUP(C165,'FERDİ SONUÇ'!$B$6:$H$819,7,0))</f>
        <v>-</v>
      </c>
      <c r="I165" s="38" t="str">
        <f>IF(ISERROR(SMALL(H161:H165,5)),"-",SMALL(H161:H165,5))</f>
        <v>-</v>
      </c>
      <c r="J165" s="32"/>
      <c r="AZ165" s="30">
        <v>1190</v>
      </c>
    </row>
    <row r="166" spans="1:52" ht="15" customHeight="1">
      <c r="A166" s="21"/>
      <c r="B166" s="23"/>
      <c r="C166" s="46"/>
      <c r="D166" s="25">
        <f>IF(ISERROR(VLOOKUP($C166,'START LİSTE'!$B$6:$G$1006,2,0)),"",VLOOKUP($C166,'START LİSTE'!$B$6:$G$1006,2,0))</f>
      </c>
      <c r="E166" s="26">
        <f>IF(ISERROR(VLOOKUP($C166,'START LİSTE'!$B$6:$G$1006,4,0)),"",VLOOKUP($C166,'START LİSTE'!$B$6:$G$1006,4,0))</f>
      </c>
      <c r="F166" s="130">
        <f>IF(ISERROR(VLOOKUP($C166,'FERDİ SONUÇ'!$B$6:$H$819,6,0)),"",VLOOKUP($C166,'FERDİ SONUÇ'!$B$6:$H$819,6,0))</f>
      </c>
      <c r="G166" s="27" t="str">
        <f>IF(OR(E166="",F166="DQ",F166="DNF",F166="DNS",F166=""),"-",VLOOKUP(C166,'FERDİ SONUÇ'!$B$6:$H$819,7,0))</f>
        <v>-</v>
      </c>
      <c r="H166" s="27" t="str">
        <f>IF(OR(E166="",E166="F",F166="DQ",F166="DNF",F166="DNS",F166=""),"-",VLOOKUP(C166,'FERDİ SONUÇ'!$B$6:$H$819,7,0))</f>
        <v>-</v>
      </c>
      <c r="I166" s="28" t="str">
        <f>IF(ISERROR(SMALL(H166:H170,1)),"-",SMALL(H166:H170,1))</f>
        <v>-</v>
      </c>
      <c r="J166" s="22"/>
      <c r="AZ166" s="30">
        <v>1192</v>
      </c>
    </row>
    <row r="167" spans="1:52" ht="15" customHeight="1">
      <c r="A167" s="31"/>
      <c r="B167" s="33"/>
      <c r="C167" s="34"/>
      <c r="D167" s="35">
        <f>IF(ISERROR(VLOOKUP($C167,'START LİSTE'!$B$6:$G$1006,2,0)),"",VLOOKUP($C167,'START LİSTE'!$B$6:$G$1006,2,0))</f>
      </c>
      <c r="E167" s="36">
        <f>IF(ISERROR(VLOOKUP($C167,'START LİSTE'!$B$6:$G$1006,4,0)),"",VLOOKUP($C167,'START LİSTE'!$B$6:$G$1006,4,0))</f>
      </c>
      <c r="F167" s="131">
        <f>IF(ISERROR(VLOOKUP($C167,'FERDİ SONUÇ'!$B$6:$H$819,6,0)),"",VLOOKUP($C167,'FERDİ SONUÇ'!$B$6:$H$819,6,0))</f>
      </c>
      <c r="G167" s="37" t="str">
        <f>IF(OR(E167="",F167="DQ",F167="DNF",F167="DNS",F167=""),"-",VLOOKUP(C167,'FERDİ SONUÇ'!$B$6:$H$819,7,0))</f>
        <v>-</v>
      </c>
      <c r="H167" s="37" t="str">
        <f>IF(OR(E167="",E167="F",F167="DQ",F167="DNF",F167="DNS",F167=""),"-",VLOOKUP(C167,'FERDİ SONUÇ'!$B$6:$H$819,7,0))</f>
        <v>-</v>
      </c>
      <c r="I167" s="38" t="str">
        <f>IF(ISERROR(SMALL(H166:H170,2)),"-",SMALL(H166:H170,2))</f>
        <v>-</v>
      </c>
      <c r="J167" s="32"/>
      <c r="AZ167" s="30">
        <v>1193</v>
      </c>
    </row>
    <row r="168" spans="1:52" ht="15" customHeight="1">
      <c r="A168" s="44">
        <f>IF(AND(B168&lt;&gt;"",J168&lt;&gt;"DQ"),COUNT(J$6:J$305)-(RANK(J168,J$6:J$305)+COUNTIF(J$6:J168,J168))+2,IF(C166&lt;&gt;"",AZ168,""))</f>
      </c>
      <c r="B168" s="33">
        <f>IF(ISERROR(VLOOKUP(C166,'START LİSTE'!$B$6:$G$1006,3,0)),"",VLOOKUP(C166,'START LİSTE'!$B$6:$G$1006,3,0))</f>
      </c>
      <c r="C168" s="34"/>
      <c r="D168" s="35">
        <f>IF(ISERROR(VLOOKUP($C168,'START LİSTE'!$B$6:$G$1006,2,0)),"",VLOOKUP($C168,'START LİSTE'!$B$6:$G$1006,2,0))</f>
      </c>
      <c r="E168" s="36">
        <f>IF(ISERROR(VLOOKUP($C168,'START LİSTE'!$B$6:$G$1006,4,0)),"",VLOOKUP($C168,'START LİSTE'!$B$6:$G$1006,4,0))</f>
      </c>
      <c r="F168" s="131">
        <f>IF(ISERROR(VLOOKUP($C168,'FERDİ SONUÇ'!$B$6:$H$819,6,0)),"",VLOOKUP($C168,'FERDİ SONUÇ'!$B$6:$H$819,6,0))</f>
      </c>
      <c r="G168" s="37" t="str">
        <f>IF(OR(E168="",F168="DQ",F168="DNF",F168="DNS",F168=""),"-",VLOOKUP(C168,'FERDİ SONUÇ'!$B$6:$H$819,7,0))</f>
        <v>-</v>
      </c>
      <c r="H168" s="37" t="str">
        <f>IF(OR(E168="",E168="F",F168="DQ",F168="DNF",F168="DNS",F168=""),"-",VLOOKUP(C168,'FERDİ SONUÇ'!$B$6:$H$819,7,0))</f>
        <v>-</v>
      </c>
      <c r="I168" s="38" t="str">
        <f>IF(ISERROR(SMALL(H166:H170,3)),"-",SMALL(H166:H170,3))</f>
        <v>-</v>
      </c>
      <c r="J168" s="43">
        <f>IF(C166="","",IF(OR(I166="-",I167="-",I168="-",I169="-"),"DQ",SUM(I166,I167,I168,I169)))</f>
      </c>
      <c r="AZ168" s="30">
        <v>1194</v>
      </c>
    </row>
    <row r="169" spans="1:52" ht="15" customHeight="1">
      <c r="A169" s="31"/>
      <c r="B169" s="33"/>
      <c r="C169" s="34"/>
      <c r="D169" s="35">
        <f>IF(ISERROR(VLOOKUP($C169,'START LİSTE'!$B$6:$G$1006,2,0)),"",VLOOKUP($C169,'START LİSTE'!$B$6:$G$1006,2,0))</f>
      </c>
      <c r="E169" s="36">
        <f>IF(ISERROR(VLOOKUP($C169,'START LİSTE'!$B$6:$G$1006,4,0)),"",VLOOKUP($C169,'START LİSTE'!$B$6:$G$1006,4,0))</f>
      </c>
      <c r="F169" s="131">
        <f>IF(ISERROR(VLOOKUP($C169,'FERDİ SONUÇ'!$B$6:$H$819,6,0)),"",VLOOKUP($C169,'FERDİ SONUÇ'!$B$6:$H$819,6,0))</f>
      </c>
      <c r="G169" s="37" t="str">
        <f>IF(OR(E169="",F169="DQ",F169="DNF",F169="DNS",F169=""),"-",VLOOKUP(C169,'FERDİ SONUÇ'!$B$6:$H$819,7,0))</f>
        <v>-</v>
      </c>
      <c r="H169" s="37" t="str">
        <f>IF(OR(E169="",E169="F",F169="DQ",F169="DNF",F169="DNS",F169=""),"-",VLOOKUP(C169,'FERDİ SONUÇ'!$B$6:$H$819,7,0))</f>
        <v>-</v>
      </c>
      <c r="I169" s="38" t="str">
        <f>IF(ISERROR(SMALL(H166:H170,4)),"-",SMALL(H166:H170,4))</f>
        <v>-</v>
      </c>
      <c r="J169" s="32"/>
      <c r="AZ169" s="30">
        <v>1195</v>
      </c>
    </row>
    <row r="170" spans="1:52" ht="15" customHeight="1">
      <c r="A170" s="31"/>
      <c r="B170" s="33"/>
      <c r="C170" s="47"/>
      <c r="D170" s="35">
        <f>IF(ISERROR(VLOOKUP($C170,'START LİSTE'!$B$6:$G$1006,2,0)),"",VLOOKUP($C170,'START LİSTE'!$B$6:$G$1006,2,0))</f>
      </c>
      <c r="E170" s="36">
        <f>IF(ISERROR(VLOOKUP($C170,'START LİSTE'!$B$6:$G$1006,4,0)),"",VLOOKUP($C170,'START LİSTE'!$B$6:$G$1006,4,0))</f>
      </c>
      <c r="F170" s="131">
        <f>IF(ISERROR(VLOOKUP($C170,'FERDİ SONUÇ'!$B$6:$H$819,6,0)),"",VLOOKUP($C170,'FERDİ SONUÇ'!$B$6:$H$819,6,0))</f>
      </c>
      <c r="G170" s="37" t="str">
        <f>IF(OR(E170="",F170="DQ",F170="DNF",F170="DNS",F170=""),"-",VLOOKUP(C170,'FERDİ SONUÇ'!$B$6:$H$819,7,0))</f>
        <v>-</v>
      </c>
      <c r="H170" s="37" t="str">
        <f>IF(OR(E170="",E170="F",F170="DQ",F170="DNF",F170="DNS",F170=""),"-",VLOOKUP(C170,'FERDİ SONUÇ'!$B$6:$H$819,7,0))</f>
        <v>-</v>
      </c>
      <c r="I170" s="38" t="str">
        <f>IF(ISERROR(SMALL(H166:H170,5)),"-",SMALL(H166:H170,5))</f>
        <v>-</v>
      </c>
      <c r="J170" s="32"/>
      <c r="AZ170" s="30">
        <v>1196</v>
      </c>
    </row>
    <row r="171" spans="1:52" ht="15" customHeight="1">
      <c r="A171" s="21"/>
      <c r="B171" s="23"/>
      <c r="C171" s="46"/>
      <c r="D171" s="25">
        <f>IF(ISERROR(VLOOKUP($C171,'START LİSTE'!$B$6:$G$1006,2,0)),"",VLOOKUP($C171,'START LİSTE'!$B$6:$G$1006,2,0))</f>
      </c>
      <c r="E171" s="26">
        <f>IF(ISERROR(VLOOKUP($C171,'START LİSTE'!$B$6:$G$1006,4,0)),"",VLOOKUP($C171,'START LİSTE'!$B$6:$G$1006,4,0))</f>
      </c>
      <c r="F171" s="130">
        <f>IF(ISERROR(VLOOKUP($C171,'FERDİ SONUÇ'!$B$6:$H$819,6,0)),"",VLOOKUP($C171,'FERDİ SONUÇ'!$B$6:$H$819,6,0))</f>
      </c>
      <c r="G171" s="26" t="str">
        <f>IF(OR(E171="",F171="DQ",F171="DNF",F171="DNS",F171=""),"-",VLOOKUP(C171,'FERDİ SONUÇ'!$B$6:$H$819,7,0))</f>
        <v>-</v>
      </c>
      <c r="H171" s="26" t="str">
        <f>IF(OR(E171="",E171="F",F171="DQ",F171="DNF",F171="DNS",F171=""),"-",VLOOKUP(C171,'FERDİ SONUÇ'!$B$6:$H$819,7,0))</f>
        <v>-</v>
      </c>
      <c r="I171" s="28" t="str">
        <f>IF(ISERROR(SMALL(H171:H175,1)),"-",SMALL(H171:H175,1))</f>
        <v>-</v>
      </c>
      <c r="J171" s="22"/>
      <c r="AZ171" s="30">
        <v>1198</v>
      </c>
    </row>
    <row r="172" spans="1:52" ht="15" customHeight="1">
      <c r="A172" s="31"/>
      <c r="B172" s="33"/>
      <c r="C172" s="34"/>
      <c r="D172" s="35">
        <f>IF(ISERROR(VLOOKUP($C172,'START LİSTE'!$B$6:$G$1006,2,0)),"",VLOOKUP($C172,'START LİSTE'!$B$6:$G$1006,2,0))</f>
      </c>
      <c r="E172" s="36">
        <f>IF(ISERROR(VLOOKUP($C172,'START LİSTE'!$B$6:$G$1006,4,0)),"",VLOOKUP($C172,'START LİSTE'!$B$6:$G$1006,4,0))</f>
      </c>
      <c r="F172" s="131">
        <f>IF(ISERROR(VLOOKUP($C172,'FERDİ SONUÇ'!$B$6:$H$819,6,0)),"",VLOOKUP($C172,'FERDİ SONUÇ'!$B$6:$H$819,6,0))</f>
      </c>
      <c r="G172" s="36" t="str">
        <f>IF(OR(E172="",F172="DQ",F172="DNF",F172="DNS",F172=""),"-",VLOOKUP(C172,'FERDİ SONUÇ'!$B$6:$H$819,7,0))</f>
        <v>-</v>
      </c>
      <c r="H172" s="36" t="str">
        <f>IF(OR(E172="",E172="F",F172="DQ",F172="DNF",F172="DNS",F172=""),"-",VLOOKUP(C172,'FERDİ SONUÇ'!$B$6:$H$819,7,0))</f>
        <v>-</v>
      </c>
      <c r="I172" s="38" t="str">
        <f>IF(ISERROR(SMALL(H171:H175,2)),"-",SMALL(H171:H175,2))</f>
        <v>-</v>
      </c>
      <c r="J172" s="32"/>
      <c r="AZ172" s="30">
        <v>1199</v>
      </c>
    </row>
    <row r="173" spans="1:52" ht="15" customHeight="1">
      <c r="A173" s="44">
        <f>IF(AND(B173&lt;&gt;"",J173&lt;&gt;"DQ"),COUNT(J$6:J$305)-(RANK(J173,J$6:J$305)+COUNTIF(J$6:J173,J173))+2,IF(C171&lt;&gt;"",AZ173,""))</f>
      </c>
      <c r="B173" s="33">
        <f>IF(ISERROR(VLOOKUP(C171,'START LİSTE'!$B$6:$G$1006,3,0)),"",VLOOKUP(C171,'START LİSTE'!$B$6:$G$1006,3,0))</f>
      </c>
      <c r="C173" s="34"/>
      <c r="D173" s="35">
        <f>IF(ISERROR(VLOOKUP($C173,'START LİSTE'!$B$6:$G$1006,2,0)),"",VLOOKUP($C173,'START LİSTE'!$B$6:$G$1006,2,0))</f>
      </c>
      <c r="E173" s="36">
        <f>IF(ISERROR(VLOOKUP($C173,'START LİSTE'!$B$6:$G$1006,4,0)),"",VLOOKUP($C173,'START LİSTE'!$B$6:$G$1006,4,0))</f>
      </c>
      <c r="F173" s="131">
        <f>IF(ISERROR(VLOOKUP($C173,'FERDİ SONUÇ'!$B$6:$H$819,6,0)),"",VLOOKUP($C173,'FERDİ SONUÇ'!$B$6:$H$819,6,0))</f>
      </c>
      <c r="G173" s="36" t="str">
        <f>IF(OR(E173="",F173="DQ",F173="DNF",F173="DNS",F173=""),"-",VLOOKUP(C173,'FERDİ SONUÇ'!$B$6:$H$819,7,0))</f>
        <v>-</v>
      </c>
      <c r="H173" s="36" t="str">
        <f>IF(OR(E173="",E173="F",F173="DQ",F173="DNF",F173="DNS",F173=""),"-",VLOOKUP(C173,'FERDİ SONUÇ'!$B$6:$H$819,7,0))</f>
        <v>-</v>
      </c>
      <c r="I173" s="38" t="str">
        <f>IF(ISERROR(SMALL(H171:H175,3)),"-",SMALL(H171:H175,3))</f>
        <v>-</v>
      </c>
      <c r="J173" s="43">
        <f>IF(C171="","",IF(OR(I171="-",I172="-",I173="-",I174="-"),"DQ",SUM(I171,I172,I173,I174)))</f>
      </c>
      <c r="AZ173" s="30">
        <v>1200</v>
      </c>
    </row>
    <row r="174" spans="1:52" ht="15" customHeight="1">
      <c r="A174" s="31"/>
      <c r="B174" s="33"/>
      <c r="C174" s="34"/>
      <c r="D174" s="35">
        <f>IF(ISERROR(VLOOKUP($C174,'START LİSTE'!$B$6:$G$1006,2,0)),"",VLOOKUP($C174,'START LİSTE'!$B$6:$G$1006,2,0))</f>
      </c>
      <c r="E174" s="36">
        <f>IF(ISERROR(VLOOKUP($C174,'START LİSTE'!$B$6:$G$1006,4,0)),"",VLOOKUP($C174,'START LİSTE'!$B$6:$G$1006,4,0))</f>
      </c>
      <c r="F174" s="131">
        <f>IF(ISERROR(VLOOKUP($C174,'FERDİ SONUÇ'!$B$6:$H$819,6,0)),"",VLOOKUP($C174,'FERDİ SONUÇ'!$B$6:$H$819,6,0))</f>
      </c>
      <c r="G174" s="36" t="str">
        <f>IF(OR(E174="",F174="DQ",F174="DNF",F174="DNS",F174=""),"-",VLOOKUP(C174,'FERDİ SONUÇ'!$B$6:$H$819,7,0))</f>
        <v>-</v>
      </c>
      <c r="H174" s="36" t="str">
        <f>IF(OR(E174="",E174="F",F174="DQ",F174="DNF",F174="DNS",F174=""),"-",VLOOKUP(C174,'FERDİ SONUÇ'!$B$6:$H$819,7,0))</f>
        <v>-</v>
      </c>
      <c r="I174" s="38" t="str">
        <f>IF(ISERROR(SMALL(H171:H175,4)),"-",SMALL(H171:H175,4))</f>
        <v>-</v>
      </c>
      <c r="J174" s="32"/>
      <c r="AZ174" s="30">
        <v>1201</v>
      </c>
    </row>
    <row r="175" spans="1:52" ht="15" customHeight="1">
      <c r="A175" s="31"/>
      <c r="B175" s="33"/>
      <c r="C175" s="47"/>
      <c r="D175" s="35">
        <f>IF(ISERROR(VLOOKUP($C175,'START LİSTE'!$B$6:$G$1006,2,0)),"",VLOOKUP($C175,'START LİSTE'!$B$6:$G$1006,2,0))</f>
      </c>
      <c r="E175" s="36">
        <f>IF(ISERROR(VLOOKUP($C175,'START LİSTE'!$B$6:$G$1006,4,0)),"",VLOOKUP($C175,'START LİSTE'!$B$6:$G$1006,4,0))</f>
      </c>
      <c r="F175" s="131">
        <f>IF(ISERROR(VLOOKUP($C175,'FERDİ SONUÇ'!$B$6:$H$819,6,0)),"",VLOOKUP($C175,'FERDİ SONUÇ'!$B$6:$H$819,6,0))</f>
      </c>
      <c r="G175" s="36" t="str">
        <f>IF(OR(E175="",F175="DQ",F175="DNF",F175="DNS",F175=""),"-",VLOOKUP(C175,'FERDİ SONUÇ'!$B$6:$H$819,7,0))</f>
        <v>-</v>
      </c>
      <c r="H175" s="36" t="str">
        <f>IF(OR(E175="",E175="F",F175="DQ",F175="DNF",F175="DNS",F175=""),"-",VLOOKUP(C175,'FERDİ SONUÇ'!$B$6:$H$819,7,0))</f>
        <v>-</v>
      </c>
      <c r="I175" s="38" t="str">
        <f>IF(ISERROR(SMALL(H171:H175,5)),"-",SMALL(H171:H175,5))</f>
        <v>-</v>
      </c>
      <c r="J175" s="32"/>
      <c r="AZ175" s="30">
        <v>1202</v>
      </c>
    </row>
    <row r="176" spans="1:52" ht="15" customHeight="1">
      <c r="A176" s="21"/>
      <c r="B176" s="23"/>
      <c r="C176" s="46"/>
      <c r="D176" s="25">
        <f>IF(ISERROR(VLOOKUP($C176,'START LİSTE'!$B$6:$G$1006,2,0)),"",VLOOKUP($C176,'START LİSTE'!$B$6:$G$1006,2,0))</f>
      </c>
      <c r="E176" s="26">
        <f>IF(ISERROR(VLOOKUP($C176,'START LİSTE'!$B$6:$G$1006,4,0)),"",VLOOKUP($C176,'START LİSTE'!$B$6:$G$1006,4,0))</f>
      </c>
      <c r="F176" s="130">
        <f>IF(ISERROR(VLOOKUP($C176,'FERDİ SONUÇ'!$B$6:$H$819,6,0)),"",VLOOKUP($C176,'FERDİ SONUÇ'!$B$6:$H$819,6,0))</f>
      </c>
      <c r="G176" s="26" t="str">
        <f>IF(OR(E176="",F176="DQ",F176="DNF",F176="DNS",F176=""),"-",VLOOKUP(C176,'FERDİ SONUÇ'!$B$6:$H$819,7,0))</f>
        <v>-</v>
      </c>
      <c r="H176" s="26" t="str">
        <f>IF(OR(E176="",E176="F",F176="DQ",F176="DNF",F176="DNS",F176=""),"-",VLOOKUP(C176,'FERDİ SONUÇ'!$B$6:$H$819,7,0))</f>
        <v>-</v>
      </c>
      <c r="I176" s="28" t="str">
        <f>IF(ISERROR(SMALL(H176:H180,1)),"-",SMALL(H176:H180,1))</f>
        <v>-</v>
      </c>
      <c r="J176" s="22"/>
      <c r="AZ176" s="30">
        <v>1204</v>
      </c>
    </row>
    <row r="177" spans="1:52" ht="15" customHeight="1">
      <c r="A177" s="31"/>
      <c r="B177" s="33"/>
      <c r="C177" s="34"/>
      <c r="D177" s="35">
        <f>IF(ISERROR(VLOOKUP($C177,'START LİSTE'!$B$6:$G$1006,2,0)),"",VLOOKUP($C177,'START LİSTE'!$B$6:$G$1006,2,0))</f>
      </c>
      <c r="E177" s="36">
        <f>IF(ISERROR(VLOOKUP($C177,'START LİSTE'!$B$6:$G$1006,4,0)),"",VLOOKUP($C177,'START LİSTE'!$B$6:$G$1006,4,0))</f>
      </c>
      <c r="F177" s="131">
        <f>IF(ISERROR(VLOOKUP($C177,'FERDİ SONUÇ'!$B$6:$H$819,6,0)),"",VLOOKUP($C177,'FERDİ SONUÇ'!$B$6:$H$819,6,0))</f>
      </c>
      <c r="G177" s="36" t="str">
        <f>IF(OR(E177="",F177="DQ",F177="DNF",F177="DNS",F177=""),"-",VLOOKUP(C177,'FERDİ SONUÇ'!$B$6:$H$819,7,0))</f>
        <v>-</v>
      </c>
      <c r="H177" s="36" t="str">
        <f>IF(OR(E177="",E177="F",F177="DQ",F177="DNF",F177="DNS",F177=""),"-",VLOOKUP(C177,'FERDİ SONUÇ'!$B$6:$H$819,7,0))</f>
        <v>-</v>
      </c>
      <c r="I177" s="38" t="str">
        <f>IF(ISERROR(SMALL(H176:H180,2)),"-",SMALL(H176:H180,2))</f>
        <v>-</v>
      </c>
      <c r="J177" s="32"/>
      <c r="AZ177" s="30">
        <v>1205</v>
      </c>
    </row>
    <row r="178" spans="1:52" ht="15" customHeight="1">
      <c r="A178" s="44">
        <f>IF(AND(B178&lt;&gt;"",J178&lt;&gt;"DQ"),COUNT(J$6:J$305)-(RANK(J178,J$6:J$305)+COUNTIF(J$6:J178,J178))+2,IF(C176&lt;&gt;"",AZ178,""))</f>
      </c>
      <c r="B178" s="33">
        <f>IF(ISERROR(VLOOKUP(C176,'START LİSTE'!$B$6:$G$1006,3,0)),"",VLOOKUP(C176,'START LİSTE'!$B$6:$G$1006,3,0))</f>
      </c>
      <c r="C178" s="34"/>
      <c r="D178" s="35">
        <f>IF(ISERROR(VLOOKUP($C178,'START LİSTE'!$B$6:$G$1006,2,0)),"",VLOOKUP($C178,'START LİSTE'!$B$6:$G$1006,2,0))</f>
      </c>
      <c r="E178" s="36">
        <f>IF(ISERROR(VLOOKUP($C178,'START LİSTE'!$B$6:$G$1006,4,0)),"",VLOOKUP($C178,'START LİSTE'!$B$6:$G$1006,4,0))</f>
      </c>
      <c r="F178" s="131">
        <f>IF(ISERROR(VLOOKUP($C178,'FERDİ SONUÇ'!$B$6:$H$819,6,0)),"",VLOOKUP($C178,'FERDİ SONUÇ'!$B$6:$H$819,6,0))</f>
      </c>
      <c r="G178" s="36" t="str">
        <f>IF(OR(E178="",F178="DQ",F178="DNF",F178="DNS",F178=""),"-",VLOOKUP(C178,'FERDİ SONUÇ'!$B$6:$H$819,7,0))</f>
        <v>-</v>
      </c>
      <c r="H178" s="36" t="str">
        <f>IF(OR(E178="",E178="F",F178="DQ",F178="DNF",F178="DNS",F178=""),"-",VLOOKUP(C178,'FERDİ SONUÇ'!$B$6:$H$819,7,0))</f>
        <v>-</v>
      </c>
      <c r="I178" s="38" t="str">
        <f>IF(ISERROR(SMALL(H176:H180,3)),"-",SMALL(H176:H180,3))</f>
        <v>-</v>
      </c>
      <c r="J178" s="43">
        <f>IF(C176="","",IF(OR(I176="-",I177="-",I178="-",I179="-"),"DQ",SUM(I176,I177,I178,I179)))</f>
      </c>
      <c r="AZ178" s="30">
        <v>1206</v>
      </c>
    </row>
    <row r="179" spans="1:52" ht="15" customHeight="1">
      <c r="A179" s="31"/>
      <c r="B179" s="33"/>
      <c r="C179" s="34"/>
      <c r="D179" s="35">
        <f>IF(ISERROR(VLOOKUP($C179,'START LİSTE'!$B$6:$G$1006,2,0)),"",VLOOKUP($C179,'START LİSTE'!$B$6:$G$1006,2,0))</f>
      </c>
      <c r="E179" s="36">
        <f>IF(ISERROR(VLOOKUP($C179,'START LİSTE'!$B$6:$G$1006,4,0)),"",VLOOKUP($C179,'START LİSTE'!$B$6:$G$1006,4,0))</f>
      </c>
      <c r="F179" s="131">
        <f>IF(ISERROR(VLOOKUP($C179,'FERDİ SONUÇ'!$B$6:$H$819,6,0)),"",VLOOKUP($C179,'FERDİ SONUÇ'!$B$6:$H$819,6,0))</f>
      </c>
      <c r="G179" s="36" t="str">
        <f>IF(OR(E179="",F179="DQ",F179="DNF",F179="DNS",F179=""),"-",VLOOKUP(C179,'FERDİ SONUÇ'!$B$6:$H$819,7,0))</f>
        <v>-</v>
      </c>
      <c r="H179" s="36" t="str">
        <f>IF(OR(E179="",E179="F",F179="DQ",F179="DNF",F179="DNS",F179=""),"-",VLOOKUP(C179,'FERDİ SONUÇ'!$B$6:$H$819,7,0))</f>
        <v>-</v>
      </c>
      <c r="I179" s="38" t="str">
        <f>IF(ISERROR(SMALL(H176:H180,4)),"-",SMALL(H176:H180,4))</f>
        <v>-</v>
      </c>
      <c r="J179" s="32"/>
      <c r="AZ179" s="30">
        <v>1207</v>
      </c>
    </row>
    <row r="180" spans="1:52" ht="15" customHeight="1">
      <c r="A180" s="31"/>
      <c r="B180" s="33"/>
      <c r="C180" s="47"/>
      <c r="D180" s="35">
        <f>IF(ISERROR(VLOOKUP($C180,'START LİSTE'!$B$6:$G$1006,2,0)),"",VLOOKUP($C180,'START LİSTE'!$B$6:$G$1006,2,0))</f>
      </c>
      <c r="E180" s="36">
        <f>IF(ISERROR(VLOOKUP($C180,'START LİSTE'!$B$6:$G$1006,4,0)),"",VLOOKUP($C180,'START LİSTE'!$B$6:$G$1006,4,0))</f>
      </c>
      <c r="F180" s="131">
        <f>IF(ISERROR(VLOOKUP($C180,'FERDİ SONUÇ'!$B$6:$H$819,6,0)),"",VLOOKUP($C180,'FERDİ SONUÇ'!$B$6:$H$819,6,0))</f>
      </c>
      <c r="G180" s="36" t="str">
        <f>IF(OR(E180="",F180="DQ",F180="DNF",F180="DNS",F180=""),"-",VLOOKUP(C180,'FERDİ SONUÇ'!$B$6:$H$819,7,0))</f>
        <v>-</v>
      </c>
      <c r="H180" s="36" t="str">
        <f>IF(OR(E180="",E180="F",F180="DQ",F180="DNF",F180="DNS",F180=""),"-",VLOOKUP(C180,'FERDİ SONUÇ'!$B$6:$H$819,7,0))</f>
        <v>-</v>
      </c>
      <c r="I180" s="38" t="str">
        <f>IF(ISERROR(SMALL(H176:H180,5)),"-",SMALL(H176:H180,5))</f>
        <v>-</v>
      </c>
      <c r="J180" s="32"/>
      <c r="AZ180" s="30">
        <v>1208</v>
      </c>
    </row>
    <row r="181" spans="1:52" ht="15" customHeight="1">
      <c r="A181" s="21"/>
      <c r="B181" s="23"/>
      <c r="C181" s="46"/>
      <c r="D181" s="25">
        <f>IF(ISERROR(VLOOKUP($C181,'START LİSTE'!$B$6:$G$1006,2,0)),"",VLOOKUP($C181,'START LİSTE'!$B$6:$G$1006,2,0))</f>
      </c>
      <c r="E181" s="26">
        <f>IF(ISERROR(VLOOKUP($C181,'START LİSTE'!$B$6:$G$1006,4,0)),"",VLOOKUP($C181,'START LİSTE'!$B$6:$G$1006,4,0))</f>
      </c>
      <c r="F181" s="130">
        <f>IF(ISERROR(VLOOKUP($C181,'FERDİ SONUÇ'!$B$6:$H$819,6,0)),"",VLOOKUP($C181,'FERDİ SONUÇ'!$B$6:$H$819,6,0))</f>
      </c>
      <c r="G181" s="26" t="str">
        <f>IF(OR(E181="",F181="DQ",F181="DNF",F181="DNS",F181=""),"-",VLOOKUP(C181,'FERDİ SONUÇ'!$B$6:$H$819,7,0))</f>
        <v>-</v>
      </c>
      <c r="H181" s="26" t="str">
        <f>IF(OR(E181="",E181="F",F181="DQ",F181="DNF",F181="DNS",F181=""),"-",VLOOKUP(C181,'FERDİ SONUÇ'!$B$6:$H$819,7,0))</f>
        <v>-</v>
      </c>
      <c r="I181" s="28" t="str">
        <f>IF(ISERROR(SMALL(H181:H185,1)),"-",SMALL(H181:H185,1))</f>
        <v>-</v>
      </c>
      <c r="J181" s="22"/>
      <c r="AZ181" s="30">
        <v>1210</v>
      </c>
    </row>
    <row r="182" spans="1:52" ht="15" customHeight="1">
      <c r="A182" s="31"/>
      <c r="B182" s="33"/>
      <c r="C182" s="34"/>
      <c r="D182" s="35">
        <f>IF(ISERROR(VLOOKUP($C182,'START LİSTE'!$B$6:$G$1006,2,0)),"",VLOOKUP($C182,'START LİSTE'!$B$6:$G$1006,2,0))</f>
      </c>
      <c r="E182" s="36">
        <f>IF(ISERROR(VLOOKUP($C182,'START LİSTE'!$B$6:$G$1006,4,0)),"",VLOOKUP($C182,'START LİSTE'!$B$6:$G$1006,4,0))</f>
      </c>
      <c r="F182" s="131">
        <f>IF(ISERROR(VLOOKUP($C182,'FERDİ SONUÇ'!$B$6:$H$819,6,0)),"",VLOOKUP($C182,'FERDİ SONUÇ'!$B$6:$H$819,6,0))</f>
      </c>
      <c r="G182" s="36" t="str">
        <f>IF(OR(E182="",F182="DQ",F182="DNF",F182="DNS",F182=""),"-",VLOOKUP(C182,'FERDİ SONUÇ'!$B$6:$H$819,7,0))</f>
        <v>-</v>
      </c>
      <c r="H182" s="36" t="str">
        <f>IF(OR(E182="",E182="F",F182="DQ",F182="DNF",F182="DNS",F182=""),"-",VLOOKUP(C182,'FERDİ SONUÇ'!$B$6:$H$819,7,0))</f>
        <v>-</v>
      </c>
      <c r="I182" s="38" t="str">
        <f>IF(ISERROR(SMALL(H181:H185,2)),"-",SMALL(H181:H185,2))</f>
        <v>-</v>
      </c>
      <c r="J182" s="32"/>
      <c r="AZ182" s="30">
        <v>1211</v>
      </c>
    </row>
    <row r="183" spans="1:52" ht="15" customHeight="1">
      <c r="A183" s="44">
        <f>IF(AND(B183&lt;&gt;"",J183&lt;&gt;"DQ"),COUNT(J$6:J$305)-(RANK(J183,J$6:J$305)+COUNTIF(J$6:J183,J183))+2,IF(C181&lt;&gt;"",AZ183,""))</f>
      </c>
      <c r="B183" s="33">
        <f>IF(ISERROR(VLOOKUP(C181,'START LİSTE'!$B$6:$G$1006,3,0)),"",VLOOKUP(C181,'START LİSTE'!$B$6:$G$1006,3,0))</f>
      </c>
      <c r="C183" s="34"/>
      <c r="D183" s="35">
        <f>IF(ISERROR(VLOOKUP($C183,'START LİSTE'!$B$6:$G$1006,2,0)),"",VLOOKUP($C183,'START LİSTE'!$B$6:$G$1006,2,0))</f>
      </c>
      <c r="E183" s="36">
        <f>IF(ISERROR(VLOOKUP($C183,'START LİSTE'!$B$6:$G$1006,4,0)),"",VLOOKUP($C183,'START LİSTE'!$B$6:$G$1006,4,0))</f>
      </c>
      <c r="F183" s="131">
        <f>IF(ISERROR(VLOOKUP($C183,'FERDİ SONUÇ'!$B$6:$H$819,6,0)),"",VLOOKUP($C183,'FERDİ SONUÇ'!$B$6:$H$819,6,0))</f>
      </c>
      <c r="G183" s="36" t="str">
        <f>IF(OR(E183="",F183="DQ",F183="DNF",F183="DNS",F183=""),"-",VLOOKUP(C183,'FERDİ SONUÇ'!$B$6:$H$819,7,0))</f>
        <v>-</v>
      </c>
      <c r="H183" s="36" t="str">
        <f>IF(OR(E183="",E183="F",F183="DQ",F183="DNF",F183="DNS",F183=""),"-",VLOOKUP(C183,'FERDİ SONUÇ'!$B$6:$H$819,7,0))</f>
        <v>-</v>
      </c>
      <c r="I183" s="38" t="str">
        <f>IF(ISERROR(SMALL(H181:H185,3)),"-",SMALL(H181:H185,3))</f>
        <v>-</v>
      </c>
      <c r="J183" s="43">
        <f>IF(C181="","",IF(OR(I181="-",I182="-",I183="-",I184="-"),"DQ",SUM(I181,I182,I183,I184)))</f>
      </c>
      <c r="AZ183" s="30">
        <v>1212</v>
      </c>
    </row>
    <row r="184" spans="1:52" ht="15" customHeight="1">
      <c r="A184" s="31"/>
      <c r="B184" s="33"/>
      <c r="C184" s="34"/>
      <c r="D184" s="35">
        <f>IF(ISERROR(VLOOKUP($C184,'START LİSTE'!$B$6:$G$1006,2,0)),"",VLOOKUP($C184,'START LİSTE'!$B$6:$G$1006,2,0))</f>
      </c>
      <c r="E184" s="36">
        <f>IF(ISERROR(VLOOKUP($C184,'START LİSTE'!$B$6:$G$1006,4,0)),"",VLOOKUP($C184,'START LİSTE'!$B$6:$G$1006,4,0))</f>
      </c>
      <c r="F184" s="131">
        <f>IF(ISERROR(VLOOKUP($C184,'FERDİ SONUÇ'!$B$6:$H$819,6,0)),"",VLOOKUP($C184,'FERDİ SONUÇ'!$B$6:$H$819,6,0))</f>
      </c>
      <c r="G184" s="36" t="str">
        <f>IF(OR(E184="",F184="DQ",F184="DNF",F184="DNS",F184=""),"-",VLOOKUP(C184,'FERDİ SONUÇ'!$B$6:$H$819,7,0))</f>
        <v>-</v>
      </c>
      <c r="H184" s="36" t="str">
        <f>IF(OR(E184="",E184="F",F184="DQ",F184="DNF",F184="DNS",F184=""),"-",VLOOKUP(C184,'FERDİ SONUÇ'!$B$6:$H$819,7,0))</f>
        <v>-</v>
      </c>
      <c r="I184" s="38" t="str">
        <f>IF(ISERROR(SMALL(H181:H185,4)),"-",SMALL(H181:H185,4))</f>
        <v>-</v>
      </c>
      <c r="J184" s="32"/>
      <c r="AZ184" s="30">
        <v>1213</v>
      </c>
    </row>
    <row r="185" spans="1:52" ht="15" customHeight="1">
      <c r="A185" s="31"/>
      <c r="B185" s="33"/>
      <c r="C185" s="47"/>
      <c r="D185" s="35">
        <f>IF(ISERROR(VLOOKUP($C185,'START LİSTE'!$B$6:$G$1006,2,0)),"",VLOOKUP($C185,'START LİSTE'!$B$6:$G$1006,2,0))</f>
      </c>
      <c r="E185" s="36">
        <f>IF(ISERROR(VLOOKUP($C185,'START LİSTE'!$B$6:$G$1006,4,0)),"",VLOOKUP($C185,'START LİSTE'!$B$6:$G$1006,4,0))</f>
      </c>
      <c r="F185" s="131">
        <f>IF(ISERROR(VLOOKUP($C185,'FERDİ SONUÇ'!$B$6:$H$819,6,0)),"",VLOOKUP($C185,'FERDİ SONUÇ'!$B$6:$H$819,6,0))</f>
      </c>
      <c r="G185" s="36" t="str">
        <f>IF(OR(E185="",F185="DQ",F185="DNF",F185="DNS",F185=""),"-",VLOOKUP(C185,'FERDİ SONUÇ'!$B$6:$H$819,7,0))</f>
        <v>-</v>
      </c>
      <c r="H185" s="36" t="str">
        <f>IF(OR(E185="",E185="F",F185="DQ",F185="DNF",F185="DNS",F185=""),"-",VLOOKUP(C185,'FERDİ SONUÇ'!$B$6:$H$819,7,0))</f>
        <v>-</v>
      </c>
      <c r="I185" s="38" t="str">
        <f>IF(ISERROR(SMALL(H181:H185,5)),"-",SMALL(H181:H185,5))</f>
        <v>-</v>
      </c>
      <c r="J185" s="32"/>
      <c r="AZ185" s="30">
        <v>1214</v>
      </c>
    </row>
    <row r="186" spans="1:52" ht="15" customHeight="1">
      <c r="A186" s="21"/>
      <c r="B186" s="23"/>
      <c r="C186" s="46"/>
      <c r="D186" s="25">
        <f>IF(ISERROR(VLOOKUP($C186,'START LİSTE'!$B$6:$G$1006,2,0)),"",VLOOKUP($C186,'START LİSTE'!$B$6:$G$1006,2,0))</f>
      </c>
      <c r="E186" s="26">
        <f>IF(ISERROR(VLOOKUP($C186,'START LİSTE'!$B$6:$G$1006,4,0)),"",VLOOKUP($C186,'START LİSTE'!$B$6:$G$1006,4,0))</f>
      </c>
      <c r="F186" s="130">
        <f>IF(ISERROR(VLOOKUP($C186,'FERDİ SONUÇ'!$B$6:$H$819,6,0)),"",VLOOKUP($C186,'FERDİ SONUÇ'!$B$6:$H$819,6,0))</f>
      </c>
      <c r="G186" s="26" t="str">
        <f>IF(OR(E186="",F186="DQ",F186="DNF",F186="DNS",F186=""),"-",VLOOKUP(C186,'FERDİ SONUÇ'!$B$6:$H$819,7,0))</f>
        <v>-</v>
      </c>
      <c r="H186" s="26" t="str">
        <f>IF(OR(E186="",E186="F",F186="DQ",F186="DNF",F186="DNS",F186=""),"-",VLOOKUP(C186,'FERDİ SONUÇ'!$B$6:$H$819,7,0))</f>
        <v>-</v>
      </c>
      <c r="I186" s="28" t="str">
        <f>IF(ISERROR(SMALL(H186:H190,1)),"-",SMALL(H186:H190,1))</f>
        <v>-</v>
      </c>
      <c r="J186" s="22"/>
      <c r="AZ186" s="30">
        <v>1216</v>
      </c>
    </row>
    <row r="187" spans="1:52" ht="15" customHeight="1">
      <c r="A187" s="31"/>
      <c r="B187" s="33"/>
      <c r="C187" s="34"/>
      <c r="D187" s="35">
        <f>IF(ISERROR(VLOOKUP($C187,'START LİSTE'!$B$6:$G$1006,2,0)),"",VLOOKUP($C187,'START LİSTE'!$B$6:$G$1006,2,0))</f>
      </c>
      <c r="E187" s="36">
        <f>IF(ISERROR(VLOOKUP($C187,'START LİSTE'!$B$6:$G$1006,4,0)),"",VLOOKUP($C187,'START LİSTE'!$B$6:$G$1006,4,0))</f>
      </c>
      <c r="F187" s="131">
        <f>IF(ISERROR(VLOOKUP($C187,'FERDİ SONUÇ'!$B$6:$H$819,6,0)),"",VLOOKUP($C187,'FERDİ SONUÇ'!$B$6:$H$819,6,0))</f>
      </c>
      <c r="G187" s="36" t="str">
        <f>IF(OR(E187="",F187="DQ",F187="DNF",F187="DNS",F187=""),"-",VLOOKUP(C187,'FERDİ SONUÇ'!$B$6:$H$819,7,0))</f>
        <v>-</v>
      </c>
      <c r="H187" s="36" t="str">
        <f>IF(OR(E187="",E187="F",F187="DQ",F187="DNF",F187="DNS",F187=""),"-",VLOOKUP(C187,'FERDİ SONUÇ'!$B$6:$H$819,7,0))</f>
        <v>-</v>
      </c>
      <c r="I187" s="38" t="str">
        <f>IF(ISERROR(SMALL(H186:H190,2)),"-",SMALL(H186:H190,2))</f>
        <v>-</v>
      </c>
      <c r="J187" s="32"/>
      <c r="AZ187" s="30">
        <v>1217</v>
      </c>
    </row>
    <row r="188" spans="1:52" ht="15" customHeight="1">
      <c r="A188" s="44">
        <f>IF(AND(B188&lt;&gt;"",J188&lt;&gt;"DQ"),COUNT(J$6:J$305)-(RANK(J188,J$6:J$305)+COUNTIF(J$6:J188,J188))+2,IF(C186&lt;&gt;"",AZ188,""))</f>
      </c>
      <c r="B188" s="33">
        <f>IF(ISERROR(VLOOKUP(C186,'START LİSTE'!$B$6:$G$1006,3,0)),"",VLOOKUP(C186,'START LİSTE'!$B$6:$G$1006,3,0))</f>
      </c>
      <c r="C188" s="34"/>
      <c r="D188" s="35">
        <f>IF(ISERROR(VLOOKUP($C188,'START LİSTE'!$B$6:$G$1006,2,0)),"",VLOOKUP($C188,'START LİSTE'!$B$6:$G$1006,2,0))</f>
      </c>
      <c r="E188" s="36">
        <f>IF(ISERROR(VLOOKUP($C188,'START LİSTE'!$B$6:$G$1006,4,0)),"",VLOOKUP($C188,'START LİSTE'!$B$6:$G$1006,4,0))</f>
      </c>
      <c r="F188" s="131">
        <f>IF(ISERROR(VLOOKUP($C188,'FERDİ SONUÇ'!$B$6:$H$819,6,0)),"",VLOOKUP($C188,'FERDİ SONUÇ'!$B$6:$H$819,6,0))</f>
      </c>
      <c r="G188" s="36" t="str">
        <f>IF(OR(E188="",F188="DQ",F188="DNF",F188="DNS",F188=""),"-",VLOOKUP(C188,'FERDİ SONUÇ'!$B$6:$H$819,7,0))</f>
        <v>-</v>
      </c>
      <c r="H188" s="36" t="str">
        <f>IF(OR(E188="",E188="F",F188="DQ",F188="DNF",F188="DNS",F188=""),"-",VLOOKUP(C188,'FERDİ SONUÇ'!$B$6:$H$819,7,0))</f>
        <v>-</v>
      </c>
      <c r="I188" s="38" t="str">
        <f>IF(ISERROR(SMALL(H186:H190,3)),"-",SMALL(H186:H190,3))</f>
        <v>-</v>
      </c>
      <c r="J188" s="43">
        <f>IF(C186="","",IF(OR(I186="-",I187="-",I188="-",I189="-"),"DQ",SUM(I186,I187,I188,I189)))</f>
      </c>
      <c r="AZ188" s="30">
        <v>1218</v>
      </c>
    </row>
    <row r="189" spans="1:52" ht="15" customHeight="1">
      <c r="A189" s="31"/>
      <c r="B189" s="33"/>
      <c r="C189" s="34"/>
      <c r="D189" s="35">
        <f>IF(ISERROR(VLOOKUP($C189,'START LİSTE'!$B$6:$G$1006,2,0)),"",VLOOKUP($C189,'START LİSTE'!$B$6:$G$1006,2,0))</f>
      </c>
      <c r="E189" s="36">
        <f>IF(ISERROR(VLOOKUP($C189,'START LİSTE'!$B$6:$G$1006,4,0)),"",VLOOKUP($C189,'START LİSTE'!$B$6:$G$1006,4,0))</f>
      </c>
      <c r="F189" s="131">
        <f>IF(ISERROR(VLOOKUP($C189,'FERDİ SONUÇ'!$B$6:$H$819,6,0)),"",VLOOKUP($C189,'FERDİ SONUÇ'!$B$6:$H$819,6,0))</f>
      </c>
      <c r="G189" s="36" t="str">
        <f>IF(OR(E189="",F189="DQ",F189="DNF",F189="DNS",F189=""),"-",VLOOKUP(C189,'FERDİ SONUÇ'!$B$6:$H$819,7,0))</f>
        <v>-</v>
      </c>
      <c r="H189" s="36" t="str">
        <f>IF(OR(E189="",E189="F",F189="DQ",F189="DNF",F189="DNS",F189=""),"-",VLOOKUP(C189,'FERDİ SONUÇ'!$B$6:$H$819,7,0))</f>
        <v>-</v>
      </c>
      <c r="I189" s="38" t="str">
        <f>IF(ISERROR(SMALL(H186:H190,4)),"-",SMALL(H186:H190,4))</f>
        <v>-</v>
      </c>
      <c r="J189" s="32"/>
      <c r="AZ189" s="30">
        <v>1219</v>
      </c>
    </row>
    <row r="190" spans="1:52" ht="15" customHeight="1">
      <c r="A190" s="31"/>
      <c r="B190" s="33"/>
      <c r="C190" s="47"/>
      <c r="D190" s="35">
        <f>IF(ISERROR(VLOOKUP($C190,'START LİSTE'!$B$6:$G$1006,2,0)),"",VLOOKUP($C190,'START LİSTE'!$B$6:$G$1006,2,0))</f>
      </c>
      <c r="E190" s="36">
        <f>IF(ISERROR(VLOOKUP($C190,'START LİSTE'!$B$6:$G$1006,4,0)),"",VLOOKUP($C190,'START LİSTE'!$B$6:$G$1006,4,0))</f>
      </c>
      <c r="F190" s="131">
        <f>IF(ISERROR(VLOOKUP($C190,'FERDİ SONUÇ'!$B$6:$H$819,6,0)),"",VLOOKUP($C190,'FERDİ SONUÇ'!$B$6:$H$819,6,0))</f>
      </c>
      <c r="G190" s="36" t="str">
        <f>IF(OR(E190="",F190="DQ",F190="DNF",F190="DNS",F190=""),"-",VLOOKUP(C190,'FERDİ SONUÇ'!$B$6:$H$819,7,0))</f>
        <v>-</v>
      </c>
      <c r="H190" s="36" t="str">
        <f>IF(OR(E190="",E190="F",F190="DQ",F190="DNF",F190="DNS",F190=""),"-",VLOOKUP(C190,'FERDİ SONUÇ'!$B$6:$H$819,7,0))</f>
        <v>-</v>
      </c>
      <c r="I190" s="38" t="str">
        <f>IF(ISERROR(SMALL(H186:H190,5)),"-",SMALL(H186:H190,5))</f>
        <v>-</v>
      </c>
      <c r="J190" s="32"/>
      <c r="AZ190" s="30">
        <v>1220</v>
      </c>
    </row>
    <row r="191" spans="1:52" ht="15" customHeight="1">
      <c r="A191" s="21"/>
      <c r="B191" s="23"/>
      <c r="C191" s="46"/>
      <c r="D191" s="25">
        <f>IF(ISERROR(VLOOKUP($C191,'START LİSTE'!$B$6:$G$1006,2,0)),"",VLOOKUP($C191,'START LİSTE'!$B$6:$G$1006,2,0))</f>
      </c>
      <c r="E191" s="26">
        <f>IF(ISERROR(VLOOKUP($C191,'START LİSTE'!$B$6:$G$1006,4,0)),"",VLOOKUP($C191,'START LİSTE'!$B$6:$G$1006,4,0))</f>
      </c>
      <c r="F191" s="130">
        <f>IF(ISERROR(VLOOKUP($C191,'FERDİ SONUÇ'!$B$6:$H$819,6,0)),"",VLOOKUP($C191,'FERDİ SONUÇ'!$B$6:$H$819,6,0))</f>
      </c>
      <c r="G191" s="26" t="str">
        <f>IF(OR(E191="",F191="DQ",F191="DNF",F191="DNS",F191=""),"-",VLOOKUP(C191,'FERDİ SONUÇ'!$B$6:$H$819,7,0))</f>
        <v>-</v>
      </c>
      <c r="H191" s="26" t="str">
        <f>IF(OR(E191="",E191="F",F191="DQ",F191="DNF",F191="DNS",F191=""),"-",VLOOKUP(C191,'FERDİ SONUÇ'!$B$6:$H$819,7,0))</f>
        <v>-</v>
      </c>
      <c r="I191" s="28" t="str">
        <f>IF(ISERROR(SMALL(H191:H195,1)),"-",SMALL(H191:H195,1))</f>
        <v>-</v>
      </c>
      <c r="J191" s="22"/>
      <c r="AZ191" s="30">
        <v>1222</v>
      </c>
    </row>
    <row r="192" spans="1:52" ht="15" customHeight="1">
      <c r="A192" s="31"/>
      <c r="B192" s="33"/>
      <c r="C192" s="34"/>
      <c r="D192" s="35">
        <f>IF(ISERROR(VLOOKUP($C192,'START LİSTE'!$B$6:$G$1006,2,0)),"",VLOOKUP($C192,'START LİSTE'!$B$6:$G$1006,2,0))</f>
      </c>
      <c r="E192" s="36">
        <f>IF(ISERROR(VLOOKUP($C192,'START LİSTE'!$B$6:$G$1006,4,0)),"",VLOOKUP($C192,'START LİSTE'!$B$6:$G$1006,4,0))</f>
      </c>
      <c r="F192" s="131">
        <f>IF(ISERROR(VLOOKUP($C192,'FERDİ SONUÇ'!$B$6:$H$819,6,0)),"",VLOOKUP($C192,'FERDİ SONUÇ'!$B$6:$H$819,6,0))</f>
      </c>
      <c r="G192" s="36" t="str">
        <f>IF(OR(E192="",F192="DQ",F192="DNF",F192="DNS",F192=""),"-",VLOOKUP(C192,'FERDİ SONUÇ'!$B$6:$H$819,7,0))</f>
        <v>-</v>
      </c>
      <c r="H192" s="36" t="str">
        <f>IF(OR(E192="",E192="F",F192="DQ",F192="DNF",F192="DNS",F192=""),"-",VLOOKUP(C192,'FERDİ SONUÇ'!$B$6:$H$819,7,0))</f>
        <v>-</v>
      </c>
      <c r="I192" s="38" t="str">
        <f>IF(ISERROR(SMALL(H191:H195,2)),"-",SMALL(H191:H195,2))</f>
        <v>-</v>
      </c>
      <c r="J192" s="32"/>
      <c r="AZ192" s="30">
        <v>1223</v>
      </c>
    </row>
    <row r="193" spans="1:52" ht="15" customHeight="1">
      <c r="A193" s="44">
        <f>IF(AND(B193&lt;&gt;"",J193&lt;&gt;"DQ"),COUNT(J$6:J$305)-(RANK(J193,J$6:J$305)+COUNTIF(J$6:J193,J193))+2,IF(C191&lt;&gt;"",AZ193,""))</f>
      </c>
      <c r="B193" s="33">
        <f>IF(ISERROR(VLOOKUP(C191,'START LİSTE'!$B$6:$G$1006,3,0)),"",VLOOKUP(C191,'START LİSTE'!$B$6:$G$1006,3,0))</f>
      </c>
      <c r="C193" s="34"/>
      <c r="D193" s="35">
        <f>IF(ISERROR(VLOOKUP($C193,'START LİSTE'!$B$6:$G$1006,2,0)),"",VLOOKUP($C193,'START LİSTE'!$B$6:$G$1006,2,0))</f>
      </c>
      <c r="E193" s="36">
        <f>IF(ISERROR(VLOOKUP($C193,'START LİSTE'!$B$6:$G$1006,4,0)),"",VLOOKUP($C193,'START LİSTE'!$B$6:$G$1006,4,0))</f>
      </c>
      <c r="F193" s="131">
        <f>IF(ISERROR(VLOOKUP($C193,'FERDİ SONUÇ'!$B$6:$H$819,6,0)),"",VLOOKUP($C193,'FERDİ SONUÇ'!$B$6:$H$819,6,0))</f>
      </c>
      <c r="G193" s="36" t="str">
        <f>IF(OR(E193="",F193="DQ",F193="DNF",F193="DNS",F193=""),"-",VLOOKUP(C193,'FERDİ SONUÇ'!$B$6:$H$819,7,0))</f>
        <v>-</v>
      </c>
      <c r="H193" s="36" t="str">
        <f>IF(OR(E193="",E193="F",F193="DQ",F193="DNF",F193="DNS",F193=""),"-",VLOOKUP(C193,'FERDİ SONUÇ'!$B$6:$H$819,7,0))</f>
        <v>-</v>
      </c>
      <c r="I193" s="38" t="str">
        <f>IF(ISERROR(SMALL(H191:H195,3)),"-",SMALL(H191:H195,3))</f>
        <v>-</v>
      </c>
      <c r="J193" s="43">
        <f>IF(C191="","",IF(OR(I191="-",I192="-",I193="-",I194="-"),"DQ",SUM(I191,I192,I193,I194)))</f>
      </c>
      <c r="AZ193" s="30">
        <v>1224</v>
      </c>
    </row>
    <row r="194" spans="1:52" ht="15" customHeight="1">
      <c r="A194" s="31"/>
      <c r="B194" s="33"/>
      <c r="C194" s="34"/>
      <c r="D194" s="35">
        <f>IF(ISERROR(VLOOKUP($C194,'START LİSTE'!$B$6:$G$1006,2,0)),"",VLOOKUP($C194,'START LİSTE'!$B$6:$G$1006,2,0))</f>
      </c>
      <c r="E194" s="36">
        <f>IF(ISERROR(VLOOKUP($C194,'START LİSTE'!$B$6:$G$1006,4,0)),"",VLOOKUP($C194,'START LİSTE'!$B$6:$G$1006,4,0))</f>
      </c>
      <c r="F194" s="131">
        <f>IF(ISERROR(VLOOKUP($C194,'FERDİ SONUÇ'!$B$6:$H$819,6,0)),"",VLOOKUP($C194,'FERDİ SONUÇ'!$B$6:$H$819,6,0))</f>
      </c>
      <c r="G194" s="36" t="str">
        <f>IF(OR(E194="",F194="DQ",F194="DNF",F194="DNS",F194=""),"-",VLOOKUP(C194,'FERDİ SONUÇ'!$B$6:$H$819,7,0))</f>
        <v>-</v>
      </c>
      <c r="H194" s="36" t="str">
        <f>IF(OR(E194="",E194="F",F194="DQ",F194="DNF",F194="DNS",F194=""),"-",VLOOKUP(C194,'FERDİ SONUÇ'!$B$6:$H$819,7,0))</f>
        <v>-</v>
      </c>
      <c r="I194" s="38" t="str">
        <f>IF(ISERROR(SMALL(H191:H195,4)),"-",SMALL(H191:H195,4))</f>
        <v>-</v>
      </c>
      <c r="J194" s="32"/>
      <c r="AZ194" s="30">
        <v>1225</v>
      </c>
    </row>
    <row r="195" spans="1:52" ht="15" customHeight="1">
      <c r="A195" s="31"/>
      <c r="B195" s="33"/>
      <c r="C195" s="47"/>
      <c r="D195" s="35">
        <f>IF(ISERROR(VLOOKUP($C195,'START LİSTE'!$B$6:$G$1006,2,0)),"",VLOOKUP($C195,'START LİSTE'!$B$6:$G$1006,2,0))</f>
      </c>
      <c r="E195" s="36">
        <f>IF(ISERROR(VLOOKUP($C195,'START LİSTE'!$B$6:$G$1006,4,0)),"",VLOOKUP($C195,'START LİSTE'!$B$6:$G$1006,4,0))</f>
      </c>
      <c r="F195" s="131">
        <f>IF(ISERROR(VLOOKUP($C195,'FERDİ SONUÇ'!$B$6:$H$819,6,0)),"",VLOOKUP($C195,'FERDİ SONUÇ'!$B$6:$H$819,6,0))</f>
      </c>
      <c r="G195" s="36" t="str">
        <f>IF(OR(E195="",F195="DQ",F195="DNF",F195="DNS",F195=""),"-",VLOOKUP(C195,'FERDİ SONUÇ'!$B$6:$H$819,7,0))</f>
        <v>-</v>
      </c>
      <c r="H195" s="36" t="str">
        <f>IF(OR(E195="",E195="F",F195="DQ",F195="DNF",F195="DNS",F195=""),"-",VLOOKUP(C195,'FERDİ SONUÇ'!$B$6:$H$819,7,0))</f>
        <v>-</v>
      </c>
      <c r="I195" s="38" t="str">
        <f>IF(ISERROR(SMALL(H191:H195,5)),"-",SMALL(H191:H195,5))</f>
        <v>-</v>
      </c>
      <c r="J195" s="32"/>
      <c r="AZ195" s="30">
        <v>1226</v>
      </c>
    </row>
    <row r="196" spans="1:52" ht="15" customHeight="1">
      <c r="A196" s="21"/>
      <c r="B196" s="23"/>
      <c r="C196" s="46"/>
      <c r="D196" s="25">
        <f>IF(ISERROR(VLOOKUP($C196,'START LİSTE'!$B$6:$G$1006,2,0)),"",VLOOKUP($C196,'START LİSTE'!$B$6:$G$1006,2,0))</f>
      </c>
      <c r="E196" s="26">
        <f>IF(ISERROR(VLOOKUP($C196,'START LİSTE'!$B$6:$G$1006,4,0)),"",VLOOKUP($C196,'START LİSTE'!$B$6:$G$1006,4,0))</f>
      </c>
      <c r="F196" s="130">
        <f>IF(ISERROR(VLOOKUP($C196,'FERDİ SONUÇ'!$B$6:$H$819,6,0)),"",VLOOKUP($C196,'FERDİ SONUÇ'!$B$6:$H$819,6,0))</f>
      </c>
      <c r="G196" s="26" t="str">
        <f>IF(OR(E196="",F196="DQ",F196="DNF",F196="DNS",F196=""),"-",VLOOKUP(C196,'FERDİ SONUÇ'!$B$6:$H$819,7,0))</f>
        <v>-</v>
      </c>
      <c r="H196" s="26" t="str">
        <f>IF(OR(E196="",E196="F",F196="DQ",F196="DNF",F196="DNS",F196=""),"-",VLOOKUP(C196,'FERDİ SONUÇ'!$B$6:$H$819,7,0))</f>
        <v>-</v>
      </c>
      <c r="I196" s="28" t="str">
        <f>IF(ISERROR(SMALL(H196:H200,1)),"-",SMALL(H196:H200,1))</f>
        <v>-</v>
      </c>
      <c r="J196" s="22"/>
      <c r="AZ196" s="30">
        <v>1228</v>
      </c>
    </row>
    <row r="197" spans="1:52" ht="15" customHeight="1">
      <c r="A197" s="31"/>
      <c r="B197" s="33"/>
      <c r="C197" s="34"/>
      <c r="D197" s="35">
        <f>IF(ISERROR(VLOOKUP($C197,'START LİSTE'!$B$6:$G$1006,2,0)),"",VLOOKUP($C197,'START LİSTE'!$B$6:$G$1006,2,0))</f>
      </c>
      <c r="E197" s="36">
        <f>IF(ISERROR(VLOOKUP($C197,'START LİSTE'!$B$6:$G$1006,4,0)),"",VLOOKUP($C197,'START LİSTE'!$B$6:$G$1006,4,0))</f>
      </c>
      <c r="F197" s="131">
        <f>IF(ISERROR(VLOOKUP($C197,'FERDİ SONUÇ'!$B$6:$H$819,6,0)),"",VLOOKUP($C197,'FERDİ SONUÇ'!$B$6:$H$819,6,0))</f>
      </c>
      <c r="G197" s="36" t="str">
        <f>IF(OR(E197="",F197="DQ",F197="DNF",F197="DNS",F197=""),"-",VLOOKUP(C197,'FERDİ SONUÇ'!$B$6:$H$819,7,0))</f>
        <v>-</v>
      </c>
      <c r="H197" s="36" t="str">
        <f>IF(OR(E197="",E197="F",F197="DQ",F197="DNF",F197="DNS",F197=""),"-",VLOOKUP(C197,'FERDİ SONUÇ'!$B$6:$H$819,7,0))</f>
        <v>-</v>
      </c>
      <c r="I197" s="38" t="str">
        <f>IF(ISERROR(SMALL(H196:H200,2)),"-",SMALL(H196:H200,2))</f>
        <v>-</v>
      </c>
      <c r="J197" s="32"/>
      <c r="AZ197" s="30">
        <v>1229</v>
      </c>
    </row>
    <row r="198" spans="1:52" ht="15" customHeight="1">
      <c r="A198" s="44">
        <f>IF(AND(B198&lt;&gt;"",J198&lt;&gt;"DQ"),COUNT(J$6:J$305)-(RANK(J198,J$6:J$305)+COUNTIF(J$6:J198,J198))+2,IF(C196&lt;&gt;"",AZ198,""))</f>
      </c>
      <c r="B198" s="33">
        <f>IF(ISERROR(VLOOKUP(C196,'START LİSTE'!$B$6:$G$1006,3,0)),"",VLOOKUP(C196,'START LİSTE'!$B$6:$G$1006,3,0))</f>
      </c>
      <c r="C198" s="34"/>
      <c r="D198" s="35">
        <f>IF(ISERROR(VLOOKUP($C198,'START LİSTE'!$B$6:$G$1006,2,0)),"",VLOOKUP($C198,'START LİSTE'!$B$6:$G$1006,2,0))</f>
      </c>
      <c r="E198" s="36">
        <f>IF(ISERROR(VLOOKUP($C198,'START LİSTE'!$B$6:$G$1006,4,0)),"",VLOOKUP($C198,'START LİSTE'!$B$6:$G$1006,4,0))</f>
      </c>
      <c r="F198" s="131">
        <f>IF(ISERROR(VLOOKUP($C198,'FERDİ SONUÇ'!$B$6:$H$819,6,0)),"",VLOOKUP($C198,'FERDİ SONUÇ'!$B$6:$H$819,6,0))</f>
      </c>
      <c r="G198" s="36" t="str">
        <f>IF(OR(E198="",F198="DQ",F198="DNF",F198="DNS",F198=""),"-",VLOOKUP(C198,'FERDİ SONUÇ'!$B$6:$H$819,7,0))</f>
        <v>-</v>
      </c>
      <c r="H198" s="36" t="str">
        <f>IF(OR(E198="",E198="F",F198="DQ",F198="DNF",F198="DNS",F198=""),"-",VLOOKUP(C198,'FERDİ SONUÇ'!$B$6:$H$819,7,0))</f>
        <v>-</v>
      </c>
      <c r="I198" s="38" t="str">
        <f>IF(ISERROR(SMALL(H196:H200,3)),"-",SMALL(H196:H200,3))</f>
        <v>-</v>
      </c>
      <c r="J198" s="43">
        <f>IF(C196="","",IF(OR(I196="-",I197="-",I198="-",I199="-"),"DQ",SUM(I196,I197,I198,I199)))</f>
      </c>
      <c r="AZ198" s="30">
        <v>1230</v>
      </c>
    </row>
    <row r="199" spans="1:52" ht="15" customHeight="1">
      <c r="A199" s="31"/>
      <c r="B199" s="33"/>
      <c r="C199" s="34"/>
      <c r="D199" s="35">
        <f>IF(ISERROR(VLOOKUP($C199,'START LİSTE'!$B$6:$G$1006,2,0)),"",VLOOKUP($C199,'START LİSTE'!$B$6:$G$1006,2,0))</f>
      </c>
      <c r="E199" s="36">
        <f>IF(ISERROR(VLOOKUP($C199,'START LİSTE'!$B$6:$G$1006,4,0)),"",VLOOKUP($C199,'START LİSTE'!$B$6:$G$1006,4,0))</f>
      </c>
      <c r="F199" s="131">
        <f>IF(ISERROR(VLOOKUP($C199,'FERDİ SONUÇ'!$B$6:$H$819,6,0)),"",VLOOKUP($C199,'FERDİ SONUÇ'!$B$6:$H$819,6,0))</f>
      </c>
      <c r="G199" s="36" t="str">
        <f>IF(OR(E199="",F199="DQ",F199="DNF",F199="DNS",F199=""),"-",VLOOKUP(C199,'FERDİ SONUÇ'!$B$6:$H$819,7,0))</f>
        <v>-</v>
      </c>
      <c r="H199" s="36" t="str">
        <f>IF(OR(E199="",E199="F",F199="DQ",F199="DNF",F199="DNS",F199=""),"-",VLOOKUP(C199,'FERDİ SONUÇ'!$B$6:$H$819,7,0))</f>
        <v>-</v>
      </c>
      <c r="I199" s="38" t="str">
        <f>IF(ISERROR(SMALL(H196:H200,4)),"-",SMALL(H196:H200,4))</f>
        <v>-</v>
      </c>
      <c r="J199" s="32"/>
      <c r="AZ199" s="30">
        <v>1231</v>
      </c>
    </row>
    <row r="200" spans="1:52" ht="15" customHeight="1">
      <c r="A200" s="31"/>
      <c r="B200" s="33"/>
      <c r="C200" s="47"/>
      <c r="D200" s="35">
        <f>IF(ISERROR(VLOOKUP($C200,'START LİSTE'!$B$6:$G$1006,2,0)),"",VLOOKUP($C200,'START LİSTE'!$B$6:$G$1006,2,0))</f>
      </c>
      <c r="E200" s="36">
        <f>IF(ISERROR(VLOOKUP($C200,'START LİSTE'!$B$6:$G$1006,4,0)),"",VLOOKUP($C200,'START LİSTE'!$B$6:$G$1006,4,0))</f>
      </c>
      <c r="F200" s="131">
        <f>IF(ISERROR(VLOOKUP($C200,'FERDİ SONUÇ'!$B$6:$H$819,6,0)),"",VLOOKUP($C200,'FERDİ SONUÇ'!$B$6:$H$819,6,0))</f>
      </c>
      <c r="G200" s="36" t="str">
        <f>IF(OR(E200="",F200="DQ",F200="DNF",F200="DNS",F200=""),"-",VLOOKUP(C200,'FERDİ SONUÇ'!$B$6:$H$819,7,0))</f>
        <v>-</v>
      </c>
      <c r="H200" s="36" t="str">
        <f>IF(OR(E200="",E200="F",F200="DQ",F200="DNF",F200="DNS",F200=""),"-",VLOOKUP(C200,'FERDİ SONUÇ'!$B$6:$H$819,7,0))</f>
        <v>-</v>
      </c>
      <c r="I200" s="38" t="str">
        <f>IF(ISERROR(SMALL(H196:H200,5)),"-",SMALL(H196:H200,5))</f>
        <v>-</v>
      </c>
      <c r="J200" s="32"/>
      <c r="AZ200" s="30">
        <v>1232</v>
      </c>
    </row>
    <row r="201" spans="1:52" ht="15" customHeight="1">
      <c r="A201" s="21"/>
      <c r="B201" s="23"/>
      <c r="C201" s="46"/>
      <c r="D201" s="25">
        <f>IF(ISERROR(VLOOKUP($C201,'START LİSTE'!$B$6:$G$1006,2,0)),"",VLOOKUP($C201,'START LİSTE'!$B$6:$G$1006,2,0))</f>
      </c>
      <c r="E201" s="26">
        <f>IF(ISERROR(VLOOKUP($C201,'START LİSTE'!$B$6:$G$1006,4,0)),"",VLOOKUP($C201,'START LİSTE'!$B$6:$G$1006,4,0))</f>
      </c>
      <c r="F201" s="130">
        <f>IF(ISERROR(VLOOKUP($C201,'FERDİ SONUÇ'!$B$6:$H$819,6,0)),"",VLOOKUP($C201,'FERDİ SONUÇ'!$B$6:$H$819,6,0))</f>
      </c>
      <c r="G201" s="26" t="str">
        <f>IF(OR(E201="",F201="DQ",F201="DNF",F201="DNS",F201=""),"-",VLOOKUP(C201,'FERDİ SONUÇ'!$B$6:$H$819,7,0))</f>
        <v>-</v>
      </c>
      <c r="H201" s="26" t="str">
        <f>IF(OR(E201="",E201="F",F201="DQ",F201="DNF",F201="DNS",F201=""),"-",VLOOKUP(C201,'FERDİ SONUÇ'!$B$6:$H$819,7,0))</f>
        <v>-</v>
      </c>
      <c r="I201" s="28" t="str">
        <f>IF(ISERROR(SMALL(H201:H205,1)),"-",SMALL(H201:H205,1))</f>
        <v>-</v>
      </c>
      <c r="J201" s="22"/>
      <c r="AZ201" s="30">
        <v>1234</v>
      </c>
    </row>
    <row r="202" spans="1:52" ht="15" customHeight="1">
      <c r="A202" s="31"/>
      <c r="B202" s="33"/>
      <c r="C202" s="34"/>
      <c r="D202" s="35">
        <f>IF(ISERROR(VLOOKUP($C202,'START LİSTE'!$B$6:$G$1006,2,0)),"",VLOOKUP($C202,'START LİSTE'!$B$6:$G$1006,2,0))</f>
      </c>
      <c r="E202" s="36">
        <f>IF(ISERROR(VLOOKUP($C202,'START LİSTE'!$B$6:$G$1006,4,0)),"",VLOOKUP($C202,'START LİSTE'!$B$6:$G$1006,4,0))</f>
      </c>
      <c r="F202" s="131">
        <f>IF(ISERROR(VLOOKUP($C202,'FERDİ SONUÇ'!$B$6:$H$819,6,0)),"",VLOOKUP($C202,'FERDİ SONUÇ'!$B$6:$H$819,6,0))</f>
      </c>
      <c r="G202" s="36" t="str">
        <f>IF(OR(E202="",F202="DQ",F202="DNF",F202="DNS",F202=""),"-",VLOOKUP(C202,'FERDİ SONUÇ'!$B$6:$H$819,7,0))</f>
        <v>-</v>
      </c>
      <c r="H202" s="36" t="str">
        <f>IF(OR(E202="",E202="F",F202="DQ",F202="DNF",F202="DNS",F202=""),"-",VLOOKUP(C202,'FERDİ SONUÇ'!$B$6:$H$819,7,0))</f>
        <v>-</v>
      </c>
      <c r="I202" s="38" t="str">
        <f>IF(ISERROR(SMALL(H201:H205,2)),"-",SMALL(H201:H205,2))</f>
        <v>-</v>
      </c>
      <c r="J202" s="32"/>
      <c r="AZ202" s="30">
        <v>1235</v>
      </c>
    </row>
    <row r="203" spans="1:52" ht="15" customHeight="1">
      <c r="A203" s="44">
        <f>IF(AND(B203&lt;&gt;"",J203&lt;&gt;"DQ"),COUNT(J$6:J$305)-(RANK(J203,J$6:J$305)+COUNTIF(J$6:J203,J203))+2,IF(C201&lt;&gt;"",AZ203,""))</f>
      </c>
      <c r="B203" s="33">
        <f>IF(ISERROR(VLOOKUP(C201,'START LİSTE'!$B$6:$G$1006,3,0)),"",VLOOKUP(C201,'START LİSTE'!$B$6:$G$1006,3,0))</f>
      </c>
      <c r="C203" s="34"/>
      <c r="D203" s="35">
        <f>IF(ISERROR(VLOOKUP($C203,'START LİSTE'!$B$6:$G$1006,2,0)),"",VLOOKUP($C203,'START LİSTE'!$B$6:$G$1006,2,0))</f>
      </c>
      <c r="E203" s="36">
        <f>IF(ISERROR(VLOOKUP($C203,'START LİSTE'!$B$6:$G$1006,4,0)),"",VLOOKUP($C203,'START LİSTE'!$B$6:$G$1006,4,0))</f>
      </c>
      <c r="F203" s="131">
        <f>IF(ISERROR(VLOOKUP($C203,'FERDİ SONUÇ'!$B$6:$H$819,6,0)),"",VLOOKUP($C203,'FERDİ SONUÇ'!$B$6:$H$819,6,0))</f>
      </c>
      <c r="G203" s="36" t="str">
        <f>IF(OR(E203="",F203="DQ",F203="DNF",F203="DNS",F203=""),"-",VLOOKUP(C203,'FERDİ SONUÇ'!$B$6:$H$819,7,0))</f>
        <v>-</v>
      </c>
      <c r="H203" s="36" t="str">
        <f>IF(OR(E203="",E203="F",F203="DQ",F203="DNF",F203="DNS",F203=""),"-",VLOOKUP(C203,'FERDİ SONUÇ'!$B$6:$H$819,7,0))</f>
        <v>-</v>
      </c>
      <c r="I203" s="38" t="str">
        <f>IF(ISERROR(SMALL(H201:H205,3)),"-",SMALL(H201:H205,3))</f>
        <v>-</v>
      </c>
      <c r="J203" s="43">
        <f>IF(C201="","",IF(OR(I201="-",I202="-",I203="-",I204="-"),"DQ",SUM(I201,I202,I203,I204)))</f>
      </c>
      <c r="AZ203" s="30">
        <v>1236</v>
      </c>
    </row>
    <row r="204" spans="1:52" ht="15" customHeight="1">
      <c r="A204" s="31"/>
      <c r="B204" s="33"/>
      <c r="C204" s="34"/>
      <c r="D204" s="35">
        <f>IF(ISERROR(VLOOKUP($C204,'START LİSTE'!$B$6:$G$1006,2,0)),"",VLOOKUP($C204,'START LİSTE'!$B$6:$G$1006,2,0))</f>
      </c>
      <c r="E204" s="36">
        <f>IF(ISERROR(VLOOKUP($C204,'START LİSTE'!$B$6:$G$1006,4,0)),"",VLOOKUP($C204,'START LİSTE'!$B$6:$G$1006,4,0))</f>
      </c>
      <c r="F204" s="131">
        <f>IF(ISERROR(VLOOKUP($C204,'FERDİ SONUÇ'!$B$6:$H$819,6,0)),"",VLOOKUP($C204,'FERDİ SONUÇ'!$B$6:$H$819,6,0))</f>
      </c>
      <c r="G204" s="36" t="str">
        <f>IF(OR(E204="",F204="DQ",F204="DNF",F204="DNS",F204=""),"-",VLOOKUP(C204,'FERDİ SONUÇ'!$B$6:$H$819,7,0))</f>
        <v>-</v>
      </c>
      <c r="H204" s="36" t="str">
        <f>IF(OR(E204="",E204="F",F204="DQ",F204="DNF",F204="DNS",F204=""),"-",VLOOKUP(C204,'FERDİ SONUÇ'!$B$6:$H$819,7,0))</f>
        <v>-</v>
      </c>
      <c r="I204" s="38" t="str">
        <f>IF(ISERROR(SMALL(H201:H205,4)),"-",SMALL(H201:H205,4))</f>
        <v>-</v>
      </c>
      <c r="J204" s="32"/>
      <c r="AZ204" s="30">
        <v>1237</v>
      </c>
    </row>
    <row r="205" spans="1:52" ht="15" customHeight="1">
      <c r="A205" s="31"/>
      <c r="B205" s="33"/>
      <c r="C205" s="47"/>
      <c r="D205" s="35">
        <f>IF(ISERROR(VLOOKUP($C205,'START LİSTE'!$B$6:$G$1006,2,0)),"",VLOOKUP($C205,'START LİSTE'!$B$6:$G$1006,2,0))</f>
      </c>
      <c r="E205" s="36">
        <f>IF(ISERROR(VLOOKUP($C205,'START LİSTE'!$B$6:$G$1006,4,0)),"",VLOOKUP($C205,'START LİSTE'!$B$6:$G$1006,4,0))</f>
      </c>
      <c r="F205" s="131">
        <f>IF(ISERROR(VLOOKUP($C205,'FERDİ SONUÇ'!$B$6:$H$819,6,0)),"",VLOOKUP($C205,'FERDİ SONUÇ'!$B$6:$H$819,6,0))</f>
      </c>
      <c r="G205" s="36" t="str">
        <f>IF(OR(E205="",F205="DQ",F205="DNF",F205="DNS",F205=""),"-",VLOOKUP(C205,'FERDİ SONUÇ'!$B$6:$H$819,7,0))</f>
        <v>-</v>
      </c>
      <c r="H205" s="36" t="str">
        <f>IF(OR(E205="",E205="F",F205="DQ",F205="DNF",F205="DNS",F205=""),"-",VLOOKUP(C205,'FERDİ SONUÇ'!$B$6:$H$819,7,0))</f>
        <v>-</v>
      </c>
      <c r="I205" s="38" t="str">
        <f>IF(ISERROR(SMALL(H201:H205,5)),"-",SMALL(H201:H205,5))</f>
        <v>-</v>
      </c>
      <c r="J205" s="32"/>
      <c r="AZ205" s="30">
        <v>1238</v>
      </c>
    </row>
    <row r="206" spans="1:52" ht="15" customHeight="1">
      <c r="A206" s="21"/>
      <c r="B206" s="23"/>
      <c r="C206" s="46"/>
      <c r="D206" s="25">
        <f>IF(ISERROR(VLOOKUP($C206,'START LİSTE'!$B$6:$G$1006,2,0)),"",VLOOKUP($C206,'START LİSTE'!$B$6:$G$1006,2,0))</f>
      </c>
      <c r="E206" s="26">
        <f>IF(ISERROR(VLOOKUP($C206,'START LİSTE'!$B$6:$G$1006,4,0)),"",VLOOKUP($C206,'START LİSTE'!$B$6:$G$1006,4,0))</f>
      </c>
      <c r="F206" s="130">
        <f>IF(ISERROR(VLOOKUP($C206,'FERDİ SONUÇ'!$B$6:$H$819,6,0)),"",VLOOKUP($C206,'FERDİ SONUÇ'!$B$6:$H$819,6,0))</f>
      </c>
      <c r="G206" s="26" t="str">
        <f>IF(OR(E206="",F206="DQ",F206="DNF",F206="DNS",F206=""),"-",VLOOKUP(C206,'FERDİ SONUÇ'!$B$6:$H$819,7,0))</f>
        <v>-</v>
      </c>
      <c r="H206" s="26" t="str">
        <f>IF(OR(E206="",E206="F",F206="DQ",F206="DNF",F206="DNS",F206=""),"-",VLOOKUP(C206,'FERDİ SONUÇ'!$B$6:$H$819,7,0))</f>
        <v>-</v>
      </c>
      <c r="I206" s="28" t="str">
        <f>IF(ISERROR(SMALL(H206:H210,1)),"-",SMALL(H206:H210,1))</f>
        <v>-</v>
      </c>
      <c r="J206" s="22"/>
      <c r="AZ206" s="30">
        <v>1240</v>
      </c>
    </row>
    <row r="207" spans="1:52" ht="15" customHeight="1">
      <c r="A207" s="31"/>
      <c r="B207" s="33"/>
      <c r="C207" s="34"/>
      <c r="D207" s="35">
        <f>IF(ISERROR(VLOOKUP($C207,'START LİSTE'!$B$6:$G$1006,2,0)),"",VLOOKUP($C207,'START LİSTE'!$B$6:$G$1006,2,0))</f>
      </c>
      <c r="E207" s="36">
        <f>IF(ISERROR(VLOOKUP($C207,'START LİSTE'!$B$6:$G$1006,4,0)),"",VLOOKUP($C207,'START LİSTE'!$B$6:$G$1006,4,0))</f>
      </c>
      <c r="F207" s="131">
        <f>IF(ISERROR(VLOOKUP($C207,'FERDİ SONUÇ'!$B$6:$H$819,6,0)),"",VLOOKUP($C207,'FERDİ SONUÇ'!$B$6:$H$819,6,0))</f>
      </c>
      <c r="G207" s="36" t="str">
        <f>IF(OR(E207="",F207="DQ",F207="DNF",F207="DNS",F207=""),"-",VLOOKUP(C207,'FERDİ SONUÇ'!$B$6:$H$819,7,0))</f>
        <v>-</v>
      </c>
      <c r="H207" s="36" t="str">
        <f>IF(OR(E207="",E207="F",F207="DQ",F207="DNF",F207="DNS",F207=""),"-",VLOOKUP(C207,'FERDİ SONUÇ'!$B$6:$H$819,7,0))</f>
        <v>-</v>
      </c>
      <c r="I207" s="38" t="str">
        <f>IF(ISERROR(SMALL(H206:H210,2)),"-",SMALL(H206:H210,2))</f>
        <v>-</v>
      </c>
      <c r="J207" s="32"/>
      <c r="AZ207" s="30">
        <v>1241</v>
      </c>
    </row>
    <row r="208" spans="1:52" ht="15" customHeight="1">
      <c r="A208" s="44">
        <f>IF(AND(B208&lt;&gt;"",J208&lt;&gt;"DQ"),COUNT(J$6:J$305)-(RANK(J208,J$6:J$305)+COUNTIF(J$6:J208,J208))+2,IF(C206&lt;&gt;"",AZ208,""))</f>
      </c>
      <c r="B208" s="33">
        <f>IF(ISERROR(VLOOKUP(C206,'START LİSTE'!$B$6:$G$1006,3,0)),"",VLOOKUP(C206,'START LİSTE'!$B$6:$G$1006,3,0))</f>
      </c>
      <c r="C208" s="34"/>
      <c r="D208" s="35">
        <f>IF(ISERROR(VLOOKUP($C208,'START LİSTE'!$B$6:$G$1006,2,0)),"",VLOOKUP($C208,'START LİSTE'!$B$6:$G$1006,2,0))</f>
      </c>
      <c r="E208" s="36">
        <f>IF(ISERROR(VLOOKUP($C208,'START LİSTE'!$B$6:$G$1006,4,0)),"",VLOOKUP($C208,'START LİSTE'!$B$6:$G$1006,4,0))</f>
      </c>
      <c r="F208" s="131">
        <f>IF(ISERROR(VLOOKUP($C208,'FERDİ SONUÇ'!$B$6:$H$819,6,0)),"",VLOOKUP($C208,'FERDİ SONUÇ'!$B$6:$H$819,6,0))</f>
      </c>
      <c r="G208" s="36" t="str">
        <f>IF(OR(E208="",F208="DQ",F208="DNF",F208="DNS",F208=""),"-",VLOOKUP(C208,'FERDİ SONUÇ'!$B$6:$H$819,7,0))</f>
        <v>-</v>
      </c>
      <c r="H208" s="36" t="str">
        <f>IF(OR(E208="",E208="F",F208="DQ",F208="DNF",F208="DNS",F208=""),"-",VLOOKUP(C208,'FERDİ SONUÇ'!$B$6:$H$819,7,0))</f>
        <v>-</v>
      </c>
      <c r="I208" s="38" t="str">
        <f>IF(ISERROR(SMALL(H206:H210,3)),"-",SMALL(H206:H210,3))</f>
        <v>-</v>
      </c>
      <c r="J208" s="43">
        <f>IF(C206="","",IF(OR(I206="-",I207="-",I208="-",I209="-"),"DQ",SUM(I206,I207,I208,I209)))</f>
      </c>
      <c r="AZ208" s="30">
        <v>1242</v>
      </c>
    </row>
    <row r="209" spans="1:52" ht="15" customHeight="1">
      <c r="A209" s="31"/>
      <c r="B209" s="33"/>
      <c r="C209" s="34"/>
      <c r="D209" s="35">
        <f>IF(ISERROR(VLOOKUP($C209,'START LİSTE'!$B$6:$G$1006,2,0)),"",VLOOKUP($C209,'START LİSTE'!$B$6:$G$1006,2,0))</f>
      </c>
      <c r="E209" s="36">
        <f>IF(ISERROR(VLOOKUP($C209,'START LİSTE'!$B$6:$G$1006,4,0)),"",VLOOKUP($C209,'START LİSTE'!$B$6:$G$1006,4,0))</f>
      </c>
      <c r="F209" s="131">
        <f>IF(ISERROR(VLOOKUP($C209,'FERDİ SONUÇ'!$B$6:$H$819,6,0)),"",VLOOKUP($C209,'FERDİ SONUÇ'!$B$6:$H$819,6,0))</f>
      </c>
      <c r="G209" s="36" t="str">
        <f>IF(OR(E209="",F209="DQ",F209="DNF",F209="DNS",F209=""),"-",VLOOKUP(C209,'FERDİ SONUÇ'!$B$6:$H$819,7,0))</f>
        <v>-</v>
      </c>
      <c r="H209" s="36" t="str">
        <f>IF(OR(E209="",E209="F",F209="DQ",F209="DNF",F209="DNS",F209=""),"-",VLOOKUP(C209,'FERDİ SONUÇ'!$B$6:$H$819,7,0))</f>
        <v>-</v>
      </c>
      <c r="I209" s="38" t="str">
        <f>IF(ISERROR(SMALL(H206:H210,4)),"-",SMALL(H206:H210,4))</f>
        <v>-</v>
      </c>
      <c r="J209" s="32"/>
      <c r="AZ209" s="30">
        <v>1243</v>
      </c>
    </row>
    <row r="210" spans="1:52" ht="15" customHeight="1">
      <c r="A210" s="31"/>
      <c r="B210" s="33"/>
      <c r="C210" s="34"/>
      <c r="D210" s="35">
        <f>IF(ISERROR(VLOOKUP($C210,'START LİSTE'!$B$6:$G$1006,2,0)),"",VLOOKUP($C210,'START LİSTE'!$B$6:$G$1006,2,0))</f>
      </c>
      <c r="E210" s="36">
        <f>IF(ISERROR(VLOOKUP($C210,'START LİSTE'!$B$6:$G$1006,4,0)),"",VLOOKUP($C210,'START LİSTE'!$B$6:$G$1006,4,0))</f>
      </c>
      <c r="F210" s="131">
        <f>IF(ISERROR(VLOOKUP($C210,'FERDİ SONUÇ'!$B$6:$H$819,6,0)),"",VLOOKUP($C210,'FERDİ SONUÇ'!$B$6:$H$819,6,0))</f>
      </c>
      <c r="G210" s="36" t="str">
        <f>IF(OR(E210="",F210="DQ",F210="DNF",F210="DNS",F210=""),"-",VLOOKUP(C210,'FERDİ SONUÇ'!$B$6:$H$819,7,0))</f>
        <v>-</v>
      </c>
      <c r="H210" s="36" t="str">
        <f>IF(OR(E210="",E210="F",F210="DQ",F210="DNF",F210="DNS",F210=""),"-",VLOOKUP(C210,'FERDİ SONUÇ'!$B$6:$H$819,7,0))</f>
        <v>-</v>
      </c>
      <c r="I210" s="38" t="str">
        <f>IF(ISERROR(SMALL(H206:H210,5)),"-",SMALL(H206:H210,5))</f>
        <v>-</v>
      </c>
      <c r="J210" s="32"/>
      <c r="AZ210" s="30">
        <v>1244</v>
      </c>
    </row>
    <row r="211" spans="1:52" ht="15" customHeight="1">
      <c r="A211" s="21"/>
      <c r="B211" s="23"/>
      <c r="C211" s="46"/>
      <c r="D211" s="25">
        <f>IF(ISERROR(VLOOKUP($C211,'START LİSTE'!$B$6:$G$1006,2,0)),"",VLOOKUP($C211,'START LİSTE'!$B$6:$G$1006,2,0))</f>
      </c>
      <c r="E211" s="26">
        <f>IF(ISERROR(VLOOKUP($C211,'START LİSTE'!$B$6:$G$1006,4,0)),"",VLOOKUP($C211,'START LİSTE'!$B$6:$G$1006,4,0))</f>
      </c>
      <c r="F211" s="130">
        <f>IF(ISERROR(VLOOKUP($C211,'FERDİ SONUÇ'!$B$6:$H$819,6,0)),"",VLOOKUP($C211,'FERDİ SONUÇ'!$B$6:$H$819,6,0))</f>
      </c>
      <c r="G211" s="26" t="str">
        <f>IF(OR(E211="",F211="DQ",F211="DNF",F211="DNS",F211=""),"-",VLOOKUP(C211,'FERDİ SONUÇ'!$B$6:$H$819,7,0))</f>
        <v>-</v>
      </c>
      <c r="H211" s="26" t="str">
        <f>IF(OR(E211="",E211="F",F211="DQ",F211="DNF",F211="DNS",F211=""),"-",VLOOKUP(C211,'FERDİ SONUÇ'!$B$6:$H$819,7,0))</f>
        <v>-</v>
      </c>
      <c r="I211" s="28" t="str">
        <f>IF(ISERROR(SMALL(H211:H215,1)),"-",SMALL(H211:H215,1))</f>
        <v>-</v>
      </c>
      <c r="J211" s="22"/>
      <c r="AZ211" s="30">
        <v>1246</v>
      </c>
    </row>
    <row r="212" spans="1:52" ht="15" customHeight="1">
      <c r="A212" s="31"/>
      <c r="B212" s="33"/>
      <c r="C212" s="34"/>
      <c r="D212" s="35">
        <f>IF(ISERROR(VLOOKUP($C212,'START LİSTE'!$B$6:$G$1006,2,0)),"",VLOOKUP($C212,'START LİSTE'!$B$6:$G$1006,2,0))</f>
      </c>
      <c r="E212" s="36">
        <f>IF(ISERROR(VLOOKUP($C212,'START LİSTE'!$B$6:$G$1006,4,0)),"",VLOOKUP($C212,'START LİSTE'!$B$6:$G$1006,4,0))</f>
      </c>
      <c r="F212" s="131">
        <f>IF(ISERROR(VLOOKUP($C212,'FERDİ SONUÇ'!$B$6:$H$819,6,0)),"",VLOOKUP($C212,'FERDİ SONUÇ'!$B$6:$H$819,6,0))</f>
      </c>
      <c r="G212" s="36" t="str">
        <f>IF(OR(E212="",F212="DQ",F212="DNF",F212="DNS",F212=""),"-",VLOOKUP(C212,'FERDİ SONUÇ'!$B$6:$H$819,7,0))</f>
        <v>-</v>
      </c>
      <c r="H212" s="36" t="str">
        <f>IF(OR(E212="",E212="F",F212="DQ",F212="DNF",F212="DNS",F212=""),"-",VLOOKUP(C212,'FERDİ SONUÇ'!$B$6:$H$819,7,0))</f>
        <v>-</v>
      </c>
      <c r="I212" s="38" t="str">
        <f>IF(ISERROR(SMALL(H211:H215,2)),"-",SMALL(H211:H215,2))</f>
        <v>-</v>
      </c>
      <c r="J212" s="32"/>
      <c r="AZ212" s="30">
        <v>1247</v>
      </c>
    </row>
    <row r="213" spans="1:52" ht="15" customHeight="1">
      <c r="A213" s="44">
        <f>IF(AND(B213&lt;&gt;"",J213&lt;&gt;"DQ"),COUNT(J$6:J$305)-(RANK(J213,J$6:J$305)+COUNTIF(J$6:J213,J213))+2,IF(C211&lt;&gt;"",AZ213,""))</f>
      </c>
      <c r="B213" s="33">
        <f>IF(ISERROR(VLOOKUP(C211,'START LİSTE'!$B$6:$G$1006,3,0)),"",VLOOKUP(C211,'START LİSTE'!$B$6:$G$1006,3,0))</f>
      </c>
      <c r="C213" s="34"/>
      <c r="D213" s="35">
        <f>IF(ISERROR(VLOOKUP($C213,'START LİSTE'!$B$6:$G$1006,2,0)),"",VLOOKUP($C213,'START LİSTE'!$B$6:$G$1006,2,0))</f>
      </c>
      <c r="E213" s="36">
        <f>IF(ISERROR(VLOOKUP($C213,'START LİSTE'!$B$6:$G$1006,4,0)),"",VLOOKUP($C213,'START LİSTE'!$B$6:$G$1006,4,0))</f>
      </c>
      <c r="F213" s="131">
        <f>IF(ISERROR(VLOOKUP($C213,'FERDİ SONUÇ'!$B$6:$H$819,6,0)),"",VLOOKUP($C213,'FERDİ SONUÇ'!$B$6:$H$819,6,0))</f>
      </c>
      <c r="G213" s="36" t="str">
        <f>IF(OR(E213="",F213="DQ",F213="DNF",F213="DNS",F213=""),"-",VLOOKUP(C213,'FERDİ SONUÇ'!$B$6:$H$819,7,0))</f>
        <v>-</v>
      </c>
      <c r="H213" s="36" t="str">
        <f>IF(OR(E213="",E213="F",F213="DQ",F213="DNF",F213="DNS",F213=""),"-",VLOOKUP(C213,'FERDİ SONUÇ'!$B$6:$H$819,7,0))</f>
        <v>-</v>
      </c>
      <c r="I213" s="38" t="str">
        <f>IF(ISERROR(SMALL(H211:H215,3)),"-",SMALL(H211:H215,3))</f>
        <v>-</v>
      </c>
      <c r="J213" s="43">
        <f>IF(C211="","",IF(OR(I211="-",I212="-",I213="-",I214="-"),"DQ",SUM(I211,I212,I213,I214)))</f>
      </c>
      <c r="AZ213" s="30">
        <v>1248</v>
      </c>
    </row>
    <row r="214" spans="1:52" ht="15" customHeight="1">
      <c r="A214" s="31"/>
      <c r="B214" s="33"/>
      <c r="C214" s="34"/>
      <c r="D214" s="35">
        <f>IF(ISERROR(VLOOKUP($C214,'START LİSTE'!$B$6:$G$1006,2,0)),"",VLOOKUP($C214,'START LİSTE'!$B$6:$G$1006,2,0))</f>
      </c>
      <c r="E214" s="36">
        <f>IF(ISERROR(VLOOKUP($C214,'START LİSTE'!$B$6:$G$1006,4,0)),"",VLOOKUP($C214,'START LİSTE'!$B$6:$G$1006,4,0))</f>
      </c>
      <c r="F214" s="131">
        <f>IF(ISERROR(VLOOKUP($C214,'FERDİ SONUÇ'!$B$6:$H$819,6,0)),"",VLOOKUP($C214,'FERDİ SONUÇ'!$B$6:$H$819,6,0))</f>
      </c>
      <c r="G214" s="36" t="str">
        <f>IF(OR(E214="",F214="DQ",F214="DNF",F214="DNS",F214=""),"-",VLOOKUP(C214,'FERDİ SONUÇ'!$B$6:$H$819,7,0))</f>
        <v>-</v>
      </c>
      <c r="H214" s="36" t="str">
        <f>IF(OR(E214="",E214="F",F214="DQ",F214="DNF",F214="DNS",F214=""),"-",VLOOKUP(C214,'FERDİ SONUÇ'!$B$6:$H$819,7,0))</f>
        <v>-</v>
      </c>
      <c r="I214" s="38" t="str">
        <f>IF(ISERROR(SMALL(H211:H215,4)),"-",SMALL(H211:H215,4))</f>
        <v>-</v>
      </c>
      <c r="J214" s="32"/>
      <c r="AZ214" s="30">
        <v>1249</v>
      </c>
    </row>
    <row r="215" spans="1:52" ht="15" customHeight="1">
      <c r="A215" s="31"/>
      <c r="B215" s="33"/>
      <c r="C215" s="47"/>
      <c r="D215" s="35">
        <f>IF(ISERROR(VLOOKUP($C215,'START LİSTE'!$B$6:$G$1006,2,0)),"",VLOOKUP($C215,'START LİSTE'!$B$6:$G$1006,2,0))</f>
      </c>
      <c r="E215" s="36">
        <f>IF(ISERROR(VLOOKUP($C215,'START LİSTE'!$B$6:$G$1006,4,0)),"",VLOOKUP($C215,'START LİSTE'!$B$6:$G$1006,4,0))</f>
      </c>
      <c r="F215" s="131">
        <f>IF(ISERROR(VLOOKUP($C215,'FERDİ SONUÇ'!$B$6:$H$819,6,0)),"",VLOOKUP($C215,'FERDİ SONUÇ'!$B$6:$H$819,6,0))</f>
      </c>
      <c r="G215" s="36" t="str">
        <f>IF(OR(E215="",F215="DQ",F215="DNF",F215="DNS",F215=""),"-",VLOOKUP(C215,'FERDİ SONUÇ'!$B$6:$H$819,7,0))</f>
        <v>-</v>
      </c>
      <c r="H215" s="36" t="str">
        <f>IF(OR(E215="",E215="F",F215="DQ",F215="DNF",F215="DNS",F215=""),"-",VLOOKUP(C215,'FERDİ SONUÇ'!$B$6:$H$819,7,0))</f>
        <v>-</v>
      </c>
      <c r="I215" s="38" t="str">
        <f>IF(ISERROR(SMALL(H211:H215,5)),"-",SMALL(H211:H215,5))</f>
        <v>-</v>
      </c>
      <c r="J215" s="32"/>
      <c r="AZ215" s="30">
        <v>1250</v>
      </c>
    </row>
    <row r="216" spans="1:52" ht="15" customHeight="1">
      <c r="A216" s="21"/>
      <c r="B216" s="23"/>
      <c r="C216" s="46"/>
      <c r="D216" s="25">
        <f>IF(ISERROR(VLOOKUP($C216,'START LİSTE'!$B$6:$G$1006,2,0)),"",VLOOKUP($C216,'START LİSTE'!$B$6:$G$1006,2,0))</f>
      </c>
      <c r="E216" s="26">
        <f>IF(ISERROR(VLOOKUP($C216,'START LİSTE'!$B$6:$G$1006,4,0)),"",VLOOKUP($C216,'START LİSTE'!$B$6:$G$1006,4,0))</f>
      </c>
      <c r="F216" s="130">
        <f>IF(ISERROR(VLOOKUP($C216,'FERDİ SONUÇ'!$B$6:$H$819,6,0)),"",VLOOKUP($C216,'FERDİ SONUÇ'!$B$6:$H$819,6,0))</f>
      </c>
      <c r="G216" s="26" t="str">
        <f>IF(OR(E216="",F216="DQ",F216="DNF",F216="DNS",F216=""),"-",VLOOKUP(C216,'FERDİ SONUÇ'!$B$6:$H$819,7,0))</f>
        <v>-</v>
      </c>
      <c r="H216" s="26" t="str">
        <f>IF(OR(E216="",E216="F",F216="DQ",F216="DNF",F216="DNS",F216=""),"-",VLOOKUP(C216,'FERDİ SONUÇ'!$B$6:$H$819,7,0))</f>
        <v>-</v>
      </c>
      <c r="I216" s="28" t="str">
        <f>IF(ISERROR(SMALL(H216:H220,1)),"-",SMALL(H216:H220,1))</f>
        <v>-</v>
      </c>
      <c r="J216" s="22"/>
      <c r="AZ216" s="30">
        <v>1252</v>
      </c>
    </row>
    <row r="217" spans="1:52" ht="15" customHeight="1">
      <c r="A217" s="31"/>
      <c r="B217" s="33"/>
      <c r="C217" s="34"/>
      <c r="D217" s="35">
        <f>IF(ISERROR(VLOOKUP($C217,'START LİSTE'!$B$6:$G$1006,2,0)),"",VLOOKUP($C217,'START LİSTE'!$B$6:$G$1006,2,0))</f>
      </c>
      <c r="E217" s="36">
        <f>IF(ISERROR(VLOOKUP($C217,'START LİSTE'!$B$6:$G$1006,4,0)),"",VLOOKUP($C217,'START LİSTE'!$B$6:$G$1006,4,0))</f>
      </c>
      <c r="F217" s="131">
        <f>IF(ISERROR(VLOOKUP($C217,'FERDİ SONUÇ'!$B$6:$H$819,6,0)),"",VLOOKUP($C217,'FERDİ SONUÇ'!$B$6:$H$819,6,0))</f>
      </c>
      <c r="G217" s="36" t="str">
        <f>IF(OR(E217="",F217="DQ",F217="DNF",F217="DNS",F217=""),"-",VLOOKUP(C217,'FERDİ SONUÇ'!$B$6:$H$819,7,0))</f>
        <v>-</v>
      </c>
      <c r="H217" s="36" t="str">
        <f>IF(OR(E217="",E217="F",F217="DQ",F217="DNF",F217="DNS",F217=""),"-",VLOOKUP(C217,'FERDİ SONUÇ'!$B$6:$H$819,7,0))</f>
        <v>-</v>
      </c>
      <c r="I217" s="38" t="str">
        <f>IF(ISERROR(SMALL(H216:H220,2)),"-",SMALL(H216:H220,2))</f>
        <v>-</v>
      </c>
      <c r="J217" s="32"/>
      <c r="AZ217" s="30">
        <v>1253</v>
      </c>
    </row>
    <row r="218" spans="1:52" ht="15" customHeight="1">
      <c r="A218" s="44">
        <f>IF(AND(B218&lt;&gt;"",J218&lt;&gt;"DQ"),COUNT(J$6:J$305)-(RANK(J218,J$6:J$305)+COUNTIF(J$6:J218,J218))+2,IF(C216&lt;&gt;"",AZ218,""))</f>
      </c>
      <c r="B218" s="33">
        <f>IF(ISERROR(VLOOKUP(C216,'START LİSTE'!$B$6:$G$1006,3,0)),"",VLOOKUP(C216,'START LİSTE'!$B$6:$G$1006,3,0))</f>
      </c>
      <c r="C218" s="34"/>
      <c r="D218" s="35">
        <f>IF(ISERROR(VLOOKUP($C218,'START LİSTE'!$B$6:$G$1006,2,0)),"",VLOOKUP($C218,'START LİSTE'!$B$6:$G$1006,2,0))</f>
      </c>
      <c r="E218" s="36">
        <f>IF(ISERROR(VLOOKUP($C218,'START LİSTE'!$B$6:$G$1006,4,0)),"",VLOOKUP($C218,'START LİSTE'!$B$6:$G$1006,4,0))</f>
      </c>
      <c r="F218" s="131">
        <f>IF(ISERROR(VLOOKUP($C218,'FERDİ SONUÇ'!$B$6:$H$819,6,0)),"",VLOOKUP($C218,'FERDİ SONUÇ'!$B$6:$H$819,6,0))</f>
      </c>
      <c r="G218" s="36" t="str">
        <f>IF(OR(E218="",F218="DQ",F218="DNF",F218="DNS",F218=""),"-",VLOOKUP(C218,'FERDİ SONUÇ'!$B$6:$H$819,7,0))</f>
        <v>-</v>
      </c>
      <c r="H218" s="36" t="str">
        <f>IF(OR(E218="",E218="F",F218="DQ",F218="DNF",F218="DNS",F218=""),"-",VLOOKUP(C218,'FERDİ SONUÇ'!$B$6:$H$819,7,0))</f>
        <v>-</v>
      </c>
      <c r="I218" s="38" t="str">
        <f>IF(ISERROR(SMALL(H216:H220,3)),"-",SMALL(H216:H220,3))</f>
        <v>-</v>
      </c>
      <c r="J218" s="43">
        <f>IF(C216="","",IF(OR(I216="-",I217="-",I218="-",I219="-"),"DQ",SUM(I216,I217,I218,I219)))</f>
      </c>
      <c r="AZ218" s="30">
        <v>1254</v>
      </c>
    </row>
    <row r="219" spans="1:52" ht="15" customHeight="1">
      <c r="A219" s="31"/>
      <c r="B219" s="33"/>
      <c r="C219" s="34"/>
      <c r="D219" s="35">
        <f>IF(ISERROR(VLOOKUP($C219,'START LİSTE'!$B$6:$G$1006,2,0)),"",VLOOKUP($C219,'START LİSTE'!$B$6:$G$1006,2,0))</f>
      </c>
      <c r="E219" s="36">
        <f>IF(ISERROR(VLOOKUP($C219,'START LİSTE'!$B$6:$G$1006,4,0)),"",VLOOKUP($C219,'START LİSTE'!$B$6:$G$1006,4,0))</f>
      </c>
      <c r="F219" s="131">
        <f>IF(ISERROR(VLOOKUP($C219,'FERDİ SONUÇ'!$B$6:$H$819,6,0)),"",VLOOKUP($C219,'FERDİ SONUÇ'!$B$6:$H$819,6,0))</f>
      </c>
      <c r="G219" s="36" t="str">
        <f>IF(OR(E219="",F219="DQ",F219="DNF",F219="DNS",F219=""),"-",VLOOKUP(C219,'FERDİ SONUÇ'!$B$6:$H$819,7,0))</f>
        <v>-</v>
      </c>
      <c r="H219" s="36" t="str">
        <f>IF(OR(E219="",E219="F",F219="DQ",F219="DNF",F219="DNS",F219=""),"-",VLOOKUP(C219,'FERDİ SONUÇ'!$B$6:$H$819,7,0))</f>
        <v>-</v>
      </c>
      <c r="I219" s="38" t="str">
        <f>IF(ISERROR(SMALL(H216:H220,4)),"-",SMALL(H216:H220,4))</f>
        <v>-</v>
      </c>
      <c r="J219" s="32"/>
      <c r="AZ219" s="30">
        <v>1255</v>
      </c>
    </row>
    <row r="220" spans="1:52" ht="15" customHeight="1">
      <c r="A220" s="31"/>
      <c r="B220" s="33"/>
      <c r="C220" s="47"/>
      <c r="D220" s="35">
        <f>IF(ISERROR(VLOOKUP($C220,'START LİSTE'!$B$6:$G$1006,2,0)),"",VLOOKUP($C220,'START LİSTE'!$B$6:$G$1006,2,0))</f>
      </c>
      <c r="E220" s="36">
        <f>IF(ISERROR(VLOOKUP($C220,'START LİSTE'!$B$6:$G$1006,4,0)),"",VLOOKUP($C220,'START LİSTE'!$B$6:$G$1006,4,0))</f>
      </c>
      <c r="F220" s="131">
        <f>IF(ISERROR(VLOOKUP($C220,'FERDİ SONUÇ'!$B$6:$H$819,6,0)),"",VLOOKUP($C220,'FERDİ SONUÇ'!$B$6:$H$819,6,0))</f>
      </c>
      <c r="G220" s="36" t="str">
        <f>IF(OR(E220="",F220="DQ",F220="DNF",F220="DNS",F220=""),"-",VLOOKUP(C220,'FERDİ SONUÇ'!$B$6:$H$819,7,0))</f>
        <v>-</v>
      </c>
      <c r="H220" s="36" t="str">
        <f>IF(OR(E220="",E220="F",F220="DQ",F220="DNF",F220="DNS",F220=""),"-",VLOOKUP(C220,'FERDİ SONUÇ'!$B$6:$H$819,7,0))</f>
        <v>-</v>
      </c>
      <c r="I220" s="38" t="str">
        <f>IF(ISERROR(SMALL(H216:H220,5)),"-",SMALL(H216:H220,5))</f>
        <v>-</v>
      </c>
      <c r="J220" s="32"/>
      <c r="AZ220" s="30">
        <v>1256</v>
      </c>
    </row>
    <row r="221" spans="1:52" ht="15" customHeight="1">
      <c r="A221" s="21"/>
      <c r="B221" s="23"/>
      <c r="C221" s="46"/>
      <c r="D221" s="25">
        <f>IF(ISERROR(VLOOKUP($C221,'START LİSTE'!$B$6:$G$1006,2,0)),"",VLOOKUP($C221,'START LİSTE'!$B$6:$G$1006,2,0))</f>
      </c>
      <c r="E221" s="26">
        <f>IF(ISERROR(VLOOKUP($C221,'START LİSTE'!$B$6:$G$1006,4,0)),"",VLOOKUP($C221,'START LİSTE'!$B$6:$G$1006,4,0))</f>
      </c>
      <c r="F221" s="130">
        <f>IF(ISERROR(VLOOKUP($C221,'FERDİ SONUÇ'!$B$6:$H$819,6,0)),"",VLOOKUP($C221,'FERDİ SONUÇ'!$B$6:$H$819,6,0))</f>
      </c>
      <c r="G221" s="26" t="str">
        <f>IF(OR(E221="",F221="DQ",F221="DNF",F221="DNS",F221=""),"-",VLOOKUP(C221,'FERDİ SONUÇ'!$B$6:$H$819,7,0))</f>
        <v>-</v>
      </c>
      <c r="H221" s="26" t="str">
        <f>IF(OR(E221="",E221="F",F221="DQ",F221="DNF",F221="DNS",F221=""),"-",VLOOKUP(C221,'FERDİ SONUÇ'!$B$6:$H$819,7,0))</f>
        <v>-</v>
      </c>
      <c r="I221" s="28" t="str">
        <f>IF(ISERROR(SMALL(H221:H225,1)),"-",SMALL(H221:H225,1))</f>
        <v>-</v>
      </c>
      <c r="J221" s="22"/>
      <c r="AZ221" s="30">
        <v>1258</v>
      </c>
    </row>
    <row r="222" spans="1:52" ht="15" customHeight="1">
      <c r="A222" s="31"/>
      <c r="B222" s="33"/>
      <c r="C222" s="34"/>
      <c r="D222" s="35">
        <f>IF(ISERROR(VLOOKUP($C222,'START LİSTE'!$B$6:$G$1006,2,0)),"",VLOOKUP($C222,'START LİSTE'!$B$6:$G$1006,2,0))</f>
      </c>
      <c r="E222" s="36">
        <f>IF(ISERROR(VLOOKUP($C222,'START LİSTE'!$B$6:$G$1006,4,0)),"",VLOOKUP($C222,'START LİSTE'!$B$6:$G$1006,4,0))</f>
      </c>
      <c r="F222" s="131">
        <f>IF(ISERROR(VLOOKUP($C222,'FERDİ SONUÇ'!$B$6:$H$819,6,0)),"",VLOOKUP($C222,'FERDİ SONUÇ'!$B$6:$H$819,6,0))</f>
      </c>
      <c r="G222" s="36" t="str">
        <f>IF(OR(E222="",F222="DQ",F222="DNF",F222="DNS",F222=""),"-",VLOOKUP(C222,'FERDİ SONUÇ'!$B$6:$H$819,7,0))</f>
        <v>-</v>
      </c>
      <c r="H222" s="36" t="str">
        <f>IF(OR(E222="",E222="F",F222="DQ",F222="DNF",F222="DNS",F222=""),"-",VLOOKUP(C222,'FERDİ SONUÇ'!$B$6:$H$819,7,0))</f>
        <v>-</v>
      </c>
      <c r="I222" s="38" t="str">
        <f>IF(ISERROR(SMALL(H221:H225,2)),"-",SMALL(H221:H225,2))</f>
        <v>-</v>
      </c>
      <c r="J222" s="32"/>
      <c r="AZ222" s="30">
        <v>1259</v>
      </c>
    </row>
    <row r="223" spans="1:52" ht="15" customHeight="1">
      <c r="A223" s="44">
        <f>IF(AND(B223&lt;&gt;"",J223&lt;&gt;"DQ"),COUNT(J$6:J$305)-(RANK(J223,J$6:J$305)+COUNTIF(J$6:J223,J223))+2,IF(C221&lt;&gt;"",AZ223,""))</f>
      </c>
      <c r="B223" s="33">
        <f>IF(ISERROR(VLOOKUP(C221,'START LİSTE'!$B$6:$G$1006,3,0)),"",VLOOKUP(C221,'START LİSTE'!$B$6:$G$1006,3,0))</f>
      </c>
      <c r="C223" s="34"/>
      <c r="D223" s="35">
        <f>IF(ISERROR(VLOOKUP($C223,'START LİSTE'!$B$6:$G$1006,2,0)),"",VLOOKUP($C223,'START LİSTE'!$B$6:$G$1006,2,0))</f>
      </c>
      <c r="E223" s="36">
        <f>IF(ISERROR(VLOOKUP($C223,'START LİSTE'!$B$6:$G$1006,4,0)),"",VLOOKUP($C223,'START LİSTE'!$B$6:$G$1006,4,0))</f>
      </c>
      <c r="F223" s="131">
        <f>IF(ISERROR(VLOOKUP($C223,'FERDİ SONUÇ'!$B$6:$H$819,6,0)),"",VLOOKUP($C223,'FERDİ SONUÇ'!$B$6:$H$819,6,0))</f>
      </c>
      <c r="G223" s="36" t="str">
        <f>IF(OR(E223="",F223="DQ",F223="DNF",F223="DNS",F223=""),"-",VLOOKUP(C223,'FERDİ SONUÇ'!$B$6:$H$819,7,0))</f>
        <v>-</v>
      </c>
      <c r="H223" s="36" t="str">
        <f>IF(OR(E223="",E223="F",F223="DQ",F223="DNF",F223="DNS",F223=""),"-",VLOOKUP(C223,'FERDİ SONUÇ'!$B$6:$H$819,7,0))</f>
        <v>-</v>
      </c>
      <c r="I223" s="38" t="str">
        <f>IF(ISERROR(SMALL(H221:H225,3)),"-",SMALL(H221:H225,3))</f>
        <v>-</v>
      </c>
      <c r="J223" s="43">
        <f>IF(C221="","",IF(OR(I221="-",I222="-",I223="-",I224="-"),"DQ",SUM(I221,I222,I223,I224)))</f>
      </c>
      <c r="AZ223" s="30">
        <v>1260</v>
      </c>
    </row>
    <row r="224" spans="1:52" ht="15" customHeight="1">
      <c r="A224" s="31"/>
      <c r="B224" s="33"/>
      <c r="C224" s="34"/>
      <c r="D224" s="35">
        <f>IF(ISERROR(VLOOKUP($C224,'START LİSTE'!$B$6:$G$1006,2,0)),"",VLOOKUP($C224,'START LİSTE'!$B$6:$G$1006,2,0))</f>
      </c>
      <c r="E224" s="36">
        <f>IF(ISERROR(VLOOKUP($C224,'START LİSTE'!$B$6:$G$1006,4,0)),"",VLOOKUP($C224,'START LİSTE'!$B$6:$G$1006,4,0))</f>
      </c>
      <c r="F224" s="131">
        <f>IF(ISERROR(VLOOKUP($C224,'FERDİ SONUÇ'!$B$6:$H$819,6,0)),"",VLOOKUP($C224,'FERDİ SONUÇ'!$B$6:$H$819,6,0))</f>
      </c>
      <c r="G224" s="36" t="str">
        <f>IF(OR(E224="",F224="DQ",F224="DNF",F224="DNS",F224=""),"-",VLOOKUP(C224,'FERDİ SONUÇ'!$B$6:$H$819,7,0))</f>
        <v>-</v>
      </c>
      <c r="H224" s="36" t="str">
        <f>IF(OR(E224="",E224="F",F224="DQ",F224="DNF",F224="DNS",F224=""),"-",VLOOKUP(C224,'FERDİ SONUÇ'!$B$6:$H$819,7,0))</f>
        <v>-</v>
      </c>
      <c r="I224" s="38" t="str">
        <f>IF(ISERROR(SMALL(H221:H225,4)),"-",SMALL(H221:H225,4))</f>
        <v>-</v>
      </c>
      <c r="J224" s="32"/>
      <c r="AZ224" s="30">
        <v>1261</v>
      </c>
    </row>
    <row r="225" spans="1:52" ht="15" customHeight="1">
      <c r="A225" s="31"/>
      <c r="B225" s="33"/>
      <c r="C225" s="47"/>
      <c r="D225" s="35">
        <f>IF(ISERROR(VLOOKUP($C225,'START LİSTE'!$B$6:$G$1006,2,0)),"",VLOOKUP($C225,'START LİSTE'!$B$6:$G$1006,2,0))</f>
      </c>
      <c r="E225" s="36">
        <f>IF(ISERROR(VLOOKUP($C225,'START LİSTE'!$B$6:$G$1006,4,0)),"",VLOOKUP($C225,'START LİSTE'!$B$6:$G$1006,4,0))</f>
      </c>
      <c r="F225" s="131">
        <f>IF(ISERROR(VLOOKUP($C225,'FERDİ SONUÇ'!$B$6:$H$819,6,0)),"",VLOOKUP($C225,'FERDİ SONUÇ'!$B$6:$H$819,6,0))</f>
      </c>
      <c r="G225" s="36" t="str">
        <f>IF(OR(E225="",F225="DQ",F225="DNF",F225="DNS",F225=""),"-",VLOOKUP(C225,'FERDİ SONUÇ'!$B$6:$H$819,7,0))</f>
        <v>-</v>
      </c>
      <c r="H225" s="36" t="str">
        <f>IF(OR(E225="",E225="F",F225="DQ",F225="DNF",F225="DNS",F225=""),"-",VLOOKUP(C225,'FERDİ SONUÇ'!$B$6:$H$819,7,0))</f>
        <v>-</v>
      </c>
      <c r="I225" s="38" t="str">
        <f>IF(ISERROR(SMALL(H221:H225,5)),"-",SMALL(H221:H225,5))</f>
        <v>-</v>
      </c>
      <c r="J225" s="32"/>
      <c r="AZ225" s="30">
        <v>1262</v>
      </c>
    </row>
    <row r="226" spans="1:52" ht="15" customHeight="1">
      <c r="A226" s="21"/>
      <c r="B226" s="23"/>
      <c r="C226" s="46"/>
      <c r="D226" s="25">
        <f>IF(ISERROR(VLOOKUP($C226,'START LİSTE'!$B$6:$G$1006,2,0)),"",VLOOKUP($C226,'START LİSTE'!$B$6:$G$1006,2,0))</f>
      </c>
      <c r="E226" s="26">
        <f>IF(ISERROR(VLOOKUP($C226,'START LİSTE'!$B$6:$G$1006,4,0)),"",VLOOKUP($C226,'START LİSTE'!$B$6:$G$1006,4,0))</f>
      </c>
      <c r="F226" s="130">
        <f>IF(ISERROR(VLOOKUP($C226,'FERDİ SONUÇ'!$B$6:$H$819,6,0)),"",VLOOKUP($C226,'FERDİ SONUÇ'!$B$6:$H$819,6,0))</f>
      </c>
      <c r="G226" s="26" t="str">
        <f>IF(OR(E226="",F226="DQ",F226="DNF",F226="DNS",F226=""),"-",VLOOKUP(C226,'FERDİ SONUÇ'!$B$6:$H$819,7,0))</f>
        <v>-</v>
      </c>
      <c r="H226" s="26" t="str">
        <f>IF(OR(E226="",E226="F",F226="DQ",F226="DNF",F226="DNS",F226=""),"-",VLOOKUP(C226,'FERDİ SONUÇ'!$B$6:$H$819,7,0))</f>
        <v>-</v>
      </c>
      <c r="I226" s="28" t="str">
        <f>IF(ISERROR(SMALL(H226:H230,1)),"-",SMALL(H226:H230,1))</f>
        <v>-</v>
      </c>
      <c r="J226" s="22"/>
      <c r="AZ226" s="30">
        <v>1264</v>
      </c>
    </row>
    <row r="227" spans="1:52" ht="15" customHeight="1">
      <c r="A227" s="31"/>
      <c r="B227" s="33"/>
      <c r="C227" s="34"/>
      <c r="D227" s="35">
        <f>IF(ISERROR(VLOOKUP($C227,'START LİSTE'!$B$6:$G$1006,2,0)),"",VLOOKUP($C227,'START LİSTE'!$B$6:$G$1006,2,0))</f>
      </c>
      <c r="E227" s="36">
        <f>IF(ISERROR(VLOOKUP($C227,'START LİSTE'!$B$6:$G$1006,4,0)),"",VLOOKUP($C227,'START LİSTE'!$B$6:$G$1006,4,0))</f>
      </c>
      <c r="F227" s="131">
        <f>IF(ISERROR(VLOOKUP($C227,'FERDİ SONUÇ'!$B$6:$H$819,6,0)),"",VLOOKUP($C227,'FERDİ SONUÇ'!$B$6:$H$819,6,0))</f>
      </c>
      <c r="G227" s="36" t="str">
        <f>IF(OR(E227="",F227="DQ",F227="DNF",F227="DNS",F227=""),"-",VLOOKUP(C227,'FERDİ SONUÇ'!$B$6:$H$819,7,0))</f>
        <v>-</v>
      </c>
      <c r="H227" s="36" t="str">
        <f>IF(OR(E227="",E227="F",F227="DQ",F227="DNF",F227="DNS",F227=""),"-",VLOOKUP(C227,'FERDİ SONUÇ'!$B$6:$H$819,7,0))</f>
        <v>-</v>
      </c>
      <c r="I227" s="38" t="str">
        <f>IF(ISERROR(SMALL(H226:H230,2)),"-",SMALL(H226:H230,2))</f>
        <v>-</v>
      </c>
      <c r="J227" s="32"/>
      <c r="AZ227" s="30">
        <v>1265</v>
      </c>
    </row>
    <row r="228" spans="1:52" ht="15" customHeight="1">
      <c r="A228" s="44">
        <f>IF(AND(B228&lt;&gt;"",J228&lt;&gt;"DQ"),COUNT(J$6:J$305)-(RANK(J228,J$6:J$305)+COUNTIF(J$6:J228,J228))+2,IF(C226&lt;&gt;"",AZ228,""))</f>
      </c>
      <c r="B228" s="33">
        <f>IF(ISERROR(VLOOKUP(C226,'START LİSTE'!$B$6:$G$1006,3,0)),"",VLOOKUP(C226,'START LİSTE'!$B$6:$G$1006,3,0))</f>
      </c>
      <c r="C228" s="34"/>
      <c r="D228" s="35">
        <f>IF(ISERROR(VLOOKUP($C228,'START LİSTE'!$B$6:$G$1006,2,0)),"",VLOOKUP($C228,'START LİSTE'!$B$6:$G$1006,2,0))</f>
      </c>
      <c r="E228" s="36">
        <f>IF(ISERROR(VLOOKUP($C228,'START LİSTE'!$B$6:$G$1006,4,0)),"",VLOOKUP($C228,'START LİSTE'!$B$6:$G$1006,4,0))</f>
      </c>
      <c r="F228" s="131">
        <f>IF(ISERROR(VLOOKUP($C228,'FERDİ SONUÇ'!$B$6:$H$819,6,0)),"",VLOOKUP($C228,'FERDİ SONUÇ'!$B$6:$H$819,6,0))</f>
      </c>
      <c r="G228" s="36" t="str">
        <f>IF(OR(E228="",F228="DQ",F228="DNF",F228="DNS",F228=""),"-",VLOOKUP(C228,'FERDİ SONUÇ'!$B$6:$H$819,7,0))</f>
        <v>-</v>
      </c>
      <c r="H228" s="36" t="str">
        <f>IF(OR(E228="",E228="F",F228="DQ",F228="DNF",F228="DNS",F228=""),"-",VLOOKUP(C228,'FERDİ SONUÇ'!$B$6:$H$819,7,0))</f>
        <v>-</v>
      </c>
      <c r="I228" s="38" t="str">
        <f>IF(ISERROR(SMALL(H226:H230,3)),"-",SMALL(H226:H230,3))</f>
        <v>-</v>
      </c>
      <c r="J228" s="43">
        <f>IF(C226="","",IF(OR(I226="-",I227="-",I228="-",I229="-"),"DQ",SUM(I226,I227,I228,I229)))</f>
      </c>
      <c r="AZ228" s="30">
        <v>1266</v>
      </c>
    </row>
    <row r="229" spans="1:52" ht="15" customHeight="1">
      <c r="A229" s="31"/>
      <c r="B229" s="33"/>
      <c r="C229" s="34"/>
      <c r="D229" s="35">
        <f>IF(ISERROR(VLOOKUP($C229,'START LİSTE'!$B$6:$G$1006,2,0)),"",VLOOKUP($C229,'START LİSTE'!$B$6:$G$1006,2,0))</f>
      </c>
      <c r="E229" s="36">
        <f>IF(ISERROR(VLOOKUP($C229,'START LİSTE'!$B$6:$G$1006,4,0)),"",VLOOKUP($C229,'START LİSTE'!$B$6:$G$1006,4,0))</f>
      </c>
      <c r="F229" s="131">
        <f>IF(ISERROR(VLOOKUP($C229,'FERDİ SONUÇ'!$B$6:$H$819,6,0)),"",VLOOKUP($C229,'FERDİ SONUÇ'!$B$6:$H$819,6,0))</f>
      </c>
      <c r="G229" s="36" t="str">
        <f>IF(OR(E229="",F229="DQ",F229="DNF",F229="DNS",F229=""),"-",VLOOKUP(C229,'FERDİ SONUÇ'!$B$6:$H$819,7,0))</f>
        <v>-</v>
      </c>
      <c r="H229" s="36" t="str">
        <f>IF(OR(E229="",E229="F",F229="DQ",F229="DNF",F229="DNS",F229=""),"-",VLOOKUP(C229,'FERDİ SONUÇ'!$B$6:$H$819,7,0))</f>
        <v>-</v>
      </c>
      <c r="I229" s="38" t="str">
        <f>IF(ISERROR(SMALL(H226:H230,4)),"-",SMALL(H226:H230,4))</f>
        <v>-</v>
      </c>
      <c r="J229" s="32"/>
      <c r="AZ229" s="30">
        <v>1267</v>
      </c>
    </row>
    <row r="230" spans="1:52" ht="15" customHeight="1">
      <c r="A230" s="31"/>
      <c r="B230" s="33"/>
      <c r="C230" s="47"/>
      <c r="D230" s="35">
        <f>IF(ISERROR(VLOOKUP($C230,'START LİSTE'!$B$6:$G$1006,2,0)),"",VLOOKUP($C230,'START LİSTE'!$B$6:$G$1006,2,0))</f>
      </c>
      <c r="E230" s="36">
        <f>IF(ISERROR(VLOOKUP($C230,'START LİSTE'!$B$6:$G$1006,4,0)),"",VLOOKUP($C230,'START LİSTE'!$B$6:$G$1006,4,0))</f>
      </c>
      <c r="F230" s="131">
        <f>IF(ISERROR(VLOOKUP($C230,'FERDİ SONUÇ'!$B$6:$H$819,6,0)),"",VLOOKUP($C230,'FERDİ SONUÇ'!$B$6:$H$819,6,0))</f>
      </c>
      <c r="G230" s="36" t="str">
        <f>IF(OR(E230="",F230="DQ",F230="DNF",F230="DNS",F230=""),"-",VLOOKUP(C230,'FERDİ SONUÇ'!$B$6:$H$819,7,0))</f>
        <v>-</v>
      </c>
      <c r="H230" s="36" t="str">
        <f>IF(OR(E230="",E230="F",F230="DQ",F230="DNF",F230="DNS",F230=""),"-",VLOOKUP(C230,'FERDİ SONUÇ'!$B$6:$H$819,7,0))</f>
        <v>-</v>
      </c>
      <c r="I230" s="38" t="str">
        <f>IF(ISERROR(SMALL(H226:H230,5)),"-",SMALL(H226:H230,5))</f>
        <v>-</v>
      </c>
      <c r="J230" s="32"/>
      <c r="AZ230" s="30">
        <v>1268</v>
      </c>
    </row>
    <row r="231" spans="1:52" ht="15" customHeight="1">
      <c r="A231" s="21"/>
      <c r="B231" s="23"/>
      <c r="C231" s="46"/>
      <c r="D231" s="25">
        <f>IF(ISERROR(VLOOKUP($C231,'START LİSTE'!$B$6:$G$1006,2,0)),"",VLOOKUP($C231,'START LİSTE'!$B$6:$G$1006,2,0))</f>
      </c>
      <c r="E231" s="26">
        <f>IF(ISERROR(VLOOKUP($C231,'START LİSTE'!$B$6:$G$1006,4,0)),"",VLOOKUP($C231,'START LİSTE'!$B$6:$G$1006,4,0))</f>
      </c>
      <c r="F231" s="130">
        <f>IF(ISERROR(VLOOKUP($C231,'FERDİ SONUÇ'!$B$6:$H$819,6,0)),"",VLOOKUP($C231,'FERDİ SONUÇ'!$B$6:$H$819,6,0))</f>
      </c>
      <c r="G231" s="26" t="str">
        <f>IF(OR(E231="",F231="DQ",F231="DNF",F231="DNS",F231=""),"-",VLOOKUP(C231,'FERDİ SONUÇ'!$B$6:$H$819,7,0))</f>
        <v>-</v>
      </c>
      <c r="H231" s="26" t="str">
        <f>IF(OR(E231="",E231="F",F231="DQ",F231="DNF",F231="DNS",F231=""),"-",VLOOKUP(C231,'FERDİ SONUÇ'!$B$6:$H$819,7,0))</f>
        <v>-</v>
      </c>
      <c r="I231" s="28" t="str">
        <f>IF(ISERROR(SMALL(H231:H235,1)),"-",SMALL(H231:H235,1))</f>
        <v>-</v>
      </c>
      <c r="J231" s="22"/>
      <c r="AZ231" s="30">
        <v>1270</v>
      </c>
    </row>
    <row r="232" spans="1:52" ht="15" customHeight="1">
      <c r="A232" s="31"/>
      <c r="B232" s="33"/>
      <c r="C232" s="34"/>
      <c r="D232" s="35">
        <f>IF(ISERROR(VLOOKUP($C232,'START LİSTE'!$B$6:$G$1006,2,0)),"",VLOOKUP($C232,'START LİSTE'!$B$6:$G$1006,2,0))</f>
      </c>
      <c r="E232" s="36">
        <f>IF(ISERROR(VLOOKUP($C232,'START LİSTE'!$B$6:$G$1006,4,0)),"",VLOOKUP($C232,'START LİSTE'!$B$6:$G$1006,4,0))</f>
      </c>
      <c r="F232" s="131">
        <f>IF(ISERROR(VLOOKUP($C232,'FERDİ SONUÇ'!$B$6:$H$819,6,0)),"",VLOOKUP($C232,'FERDİ SONUÇ'!$B$6:$H$819,6,0))</f>
      </c>
      <c r="G232" s="36" t="str">
        <f>IF(OR(E232="",F232="DQ",F232="DNF",F232="DNS",F232=""),"-",VLOOKUP(C232,'FERDİ SONUÇ'!$B$6:$H$819,7,0))</f>
        <v>-</v>
      </c>
      <c r="H232" s="36" t="str">
        <f>IF(OR(E232="",E232="F",F232="DQ",F232="DNF",F232="DNS",F232=""),"-",VLOOKUP(C232,'FERDİ SONUÇ'!$B$6:$H$819,7,0))</f>
        <v>-</v>
      </c>
      <c r="I232" s="38" t="str">
        <f>IF(ISERROR(SMALL(H231:H235,2)),"-",SMALL(H231:H235,2))</f>
        <v>-</v>
      </c>
      <c r="J232" s="32"/>
      <c r="AZ232" s="30">
        <v>1271</v>
      </c>
    </row>
    <row r="233" spans="1:52" ht="15" customHeight="1">
      <c r="A233" s="44">
        <f>IF(AND(B233&lt;&gt;"",J233&lt;&gt;"DQ"),COUNT(J$6:J$305)-(RANK(J233,J$6:J$305)+COUNTIF(J$6:J233,J233))+2,IF(C231&lt;&gt;"",AZ233,""))</f>
      </c>
      <c r="B233" s="33">
        <f>IF(ISERROR(VLOOKUP(C231,'START LİSTE'!$B$6:$G$1006,3,0)),"",VLOOKUP(C231,'START LİSTE'!$B$6:$G$1006,3,0))</f>
      </c>
      <c r="C233" s="34"/>
      <c r="D233" s="35">
        <f>IF(ISERROR(VLOOKUP($C233,'START LİSTE'!$B$6:$G$1006,2,0)),"",VLOOKUP($C233,'START LİSTE'!$B$6:$G$1006,2,0))</f>
      </c>
      <c r="E233" s="36">
        <f>IF(ISERROR(VLOOKUP($C233,'START LİSTE'!$B$6:$G$1006,4,0)),"",VLOOKUP($C233,'START LİSTE'!$B$6:$G$1006,4,0))</f>
      </c>
      <c r="F233" s="131">
        <f>IF(ISERROR(VLOOKUP($C233,'FERDİ SONUÇ'!$B$6:$H$819,6,0)),"",VLOOKUP($C233,'FERDİ SONUÇ'!$B$6:$H$819,6,0))</f>
      </c>
      <c r="G233" s="36" t="str">
        <f>IF(OR(E233="",F233="DQ",F233="DNF",F233="DNS",F233=""),"-",VLOOKUP(C233,'FERDİ SONUÇ'!$B$6:$H$819,7,0))</f>
        <v>-</v>
      </c>
      <c r="H233" s="36" t="str">
        <f>IF(OR(E233="",E233="F",F233="DQ",F233="DNF",F233="DNS",F233=""),"-",VLOOKUP(C233,'FERDİ SONUÇ'!$B$6:$H$819,7,0))</f>
        <v>-</v>
      </c>
      <c r="I233" s="38" t="str">
        <f>IF(ISERROR(SMALL(H231:H235,3)),"-",SMALL(H231:H235,3))</f>
        <v>-</v>
      </c>
      <c r="J233" s="43">
        <f>IF(C231="","",IF(OR(I231="-",I232="-",I233="-",I234="-"),"DQ",SUM(I231,I232,I233,I234)))</f>
      </c>
      <c r="AZ233" s="30">
        <v>1272</v>
      </c>
    </row>
    <row r="234" spans="1:52" ht="15" customHeight="1">
      <c r="A234" s="31"/>
      <c r="B234" s="33"/>
      <c r="C234" s="34"/>
      <c r="D234" s="35">
        <f>IF(ISERROR(VLOOKUP($C234,'START LİSTE'!$B$6:$G$1006,2,0)),"",VLOOKUP($C234,'START LİSTE'!$B$6:$G$1006,2,0))</f>
      </c>
      <c r="E234" s="36">
        <f>IF(ISERROR(VLOOKUP($C234,'START LİSTE'!$B$6:$G$1006,4,0)),"",VLOOKUP($C234,'START LİSTE'!$B$6:$G$1006,4,0))</f>
      </c>
      <c r="F234" s="131">
        <f>IF(ISERROR(VLOOKUP($C234,'FERDİ SONUÇ'!$B$6:$H$819,6,0)),"",VLOOKUP($C234,'FERDİ SONUÇ'!$B$6:$H$819,6,0))</f>
      </c>
      <c r="G234" s="36" t="str">
        <f>IF(OR(E234="",F234="DQ",F234="DNF",F234="DNS",F234=""),"-",VLOOKUP(C234,'FERDİ SONUÇ'!$B$6:$H$819,7,0))</f>
        <v>-</v>
      </c>
      <c r="H234" s="36" t="str">
        <f>IF(OR(E234="",E234="F",F234="DQ",F234="DNF",F234="DNS",F234=""),"-",VLOOKUP(C234,'FERDİ SONUÇ'!$B$6:$H$819,7,0))</f>
        <v>-</v>
      </c>
      <c r="I234" s="38" t="str">
        <f>IF(ISERROR(SMALL(H231:H235,4)),"-",SMALL(H231:H235,4))</f>
        <v>-</v>
      </c>
      <c r="J234" s="32"/>
      <c r="AZ234" s="30">
        <v>1273</v>
      </c>
    </row>
    <row r="235" spans="1:52" ht="15" customHeight="1">
      <c r="A235" s="31"/>
      <c r="B235" s="33"/>
      <c r="C235" s="47"/>
      <c r="D235" s="35">
        <f>IF(ISERROR(VLOOKUP($C235,'START LİSTE'!$B$6:$G$1006,2,0)),"",VLOOKUP($C235,'START LİSTE'!$B$6:$G$1006,2,0))</f>
      </c>
      <c r="E235" s="36">
        <f>IF(ISERROR(VLOOKUP($C235,'START LİSTE'!$B$6:$G$1006,4,0)),"",VLOOKUP($C235,'START LİSTE'!$B$6:$G$1006,4,0))</f>
      </c>
      <c r="F235" s="131">
        <f>IF(ISERROR(VLOOKUP($C235,'FERDİ SONUÇ'!$B$6:$H$819,6,0)),"",VLOOKUP($C235,'FERDİ SONUÇ'!$B$6:$H$819,6,0))</f>
      </c>
      <c r="G235" s="36" t="str">
        <f>IF(OR(E235="",F235="DQ",F235="DNF",F235="DNS",F235=""),"-",VLOOKUP(C235,'FERDİ SONUÇ'!$B$6:$H$819,7,0))</f>
        <v>-</v>
      </c>
      <c r="H235" s="36" t="str">
        <f>IF(OR(E235="",E235="F",F235="DQ",F235="DNF",F235="DNS",F235=""),"-",VLOOKUP(C235,'FERDİ SONUÇ'!$B$6:$H$819,7,0))</f>
        <v>-</v>
      </c>
      <c r="I235" s="38" t="str">
        <f>IF(ISERROR(SMALL(H231:H235,5)),"-",SMALL(H231:H235,5))</f>
        <v>-</v>
      </c>
      <c r="J235" s="32"/>
      <c r="AZ235" s="30">
        <v>1274</v>
      </c>
    </row>
    <row r="236" spans="1:52" ht="15" customHeight="1">
      <c r="A236" s="21"/>
      <c r="B236" s="23"/>
      <c r="C236" s="46"/>
      <c r="D236" s="25">
        <f>IF(ISERROR(VLOOKUP($C236,'START LİSTE'!$B$6:$G$1006,2,0)),"",VLOOKUP($C236,'START LİSTE'!$B$6:$G$1006,2,0))</f>
      </c>
      <c r="E236" s="26">
        <f>IF(ISERROR(VLOOKUP($C236,'START LİSTE'!$B$6:$G$1006,4,0)),"",VLOOKUP($C236,'START LİSTE'!$B$6:$G$1006,4,0))</f>
      </c>
      <c r="F236" s="130">
        <f>IF(ISERROR(VLOOKUP($C236,'FERDİ SONUÇ'!$B$6:$H$819,6,0)),"",VLOOKUP($C236,'FERDİ SONUÇ'!$B$6:$H$819,6,0))</f>
      </c>
      <c r="G236" s="26" t="str">
        <f>IF(OR(E236="",F236="DQ",F236="DNF",F236="DNS",F236=""),"-",VLOOKUP(C236,'FERDİ SONUÇ'!$B$6:$H$819,7,0))</f>
        <v>-</v>
      </c>
      <c r="H236" s="26" t="str">
        <f>IF(OR(E236="",E236="F",F236="DQ",F236="DNF",F236="DNS",F236=""),"-",VLOOKUP(C236,'FERDİ SONUÇ'!$B$6:$H$819,7,0))</f>
        <v>-</v>
      </c>
      <c r="I236" s="28" t="str">
        <f>IF(ISERROR(SMALL(H236:H240,1)),"-",SMALL(H236:H240,1))</f>
        <v>-</v>
      </c>
      <c r="J236" s="22"/>
      <c r="AZ236" s="30">
        <v>1276</v>
      </c>
    </row>
    <row r="237" spans="1:52" ht="15" customHeight="1">
      <c r="A237" s="31"/>
      <c r="B237" s="33"/>
      <c r="C237" s="34"/>
      <c r="D237" s="35">
        <f>IF(ISERROR(VLOOKUP($C237,'START LİSTE'!$B$6:$G$1006,2,0)),"",VLOOKUP($C237,'START LİSTE'!$B$6:$G$1006,2,0))</f>
      </c>
      <c r="E237" s="36">
        <f>IF(ISERROR(VLOOKUP($C237,'START LİSTE'!$B$6:$G$1006,4,0)),"",VLOOKUP($C237,'START LİSTE'!$B$6:$G$1006,4,0))</f>
      </c>
      <c r="F237" s="131">
        <f>IF(ISERROR(VLOOKUP($C237,'FERDİ SONUÇ'!$B$6:$H$819,6,0)),"",VLOOKUP($C237,'FERDİ SONUÇ'!$B$6:$H$819,6,0))</f>
      </c>
      <c r="G237" s="36" t="str">
        <f>IF(OR(E237="",F237="DQ",F237="DNF",F237="DNS",F237=""),"-",VLOOKUP(C237,'FERDİ SONUÇ'!$B$6:$H$819,7,0))</f>
        <v>-</v>
      </c>
      <c r="H237" s="36" t="str">
        <f>IF(OR(E237="",E237="F",F237="DQ",F237="DNF",F237="DNS",F237=""),"-",VLOOKUP(C237,'FERDİ SONUÇ'!$B$6:$H$819,7,0))</f>
        <v>-</v>
      </c>
      <c r="I237" s="38" t="str">
        <f>IF(ISERROR(SMALL(H236:H240,2)),"-",SMALL(H236:H240,2))</f>
        <v>-</v>
      </c>
      <c r="J237" s="32"/>
      <c r="AZ237" s="30">
        <v>1277</v>
      </c>
    </row>
    <row r="238" spans="1:52" ht="15" customHeight="1">
      <c r="A238" s="44">
        <f>IF(AND(B238&lt;&gt;"",J238&lt;&gt;"DQ"),COUNT(J$6:J$305)-(RANK(J238,J$6:J$305)+COUNTIF(J$6:J238,J238))+2,IF(C236&lt;&gt;"",AZ238,""))</f>
      </c>
      <c r="B238" s="33">
        <f>IF(ISERROR(VLOOKUP(C236,'START LİSTE'!$B$6:$G$1006,3,0)),"",VLOOKUP(C236,'START LİSTE'!$B$6:$G$1006,3,0))</f>
      </c>
      <c r="C238" s="34"/>
      <c r="D238" s="35">
        <f>IF(ISERROR(VLOOKUP($C238,'START LİSTE'!$B$6:$G$1006,2,0)),"",VLOOKUP($C238,'START LİSTE'!$B$6:$G$1006,2,0))</f>
      </c>
      <c r="E238" s="36">
        <f>IF(ISERROR(VLOOKUP($C238,'START LİSTE'!$B$6:$G$1006,4,0)),"",VLOOKUP($C238,'START LİSTE'!$B$6:$G$1006,4,0))</f>
      </c>
      <c r="F238" s="131">
        <f>IF(ISERROR(VLOOKUP($C238,'FERDİ SONUÇ'!$B$6:$H$819,6,0)),"",VLOOKUP($C238,'FERDİ SONUÇ'!$B$6:$H$819,6,0))</f>
      </c>
      <c r="G238" s="36" t="str">
        <f>IF(OR(E238="",F238="DQ",F238="DNF",F238="DNS",F238=""),"-",VLOOKUP(C238,'FERDİ SONUÇ'!$B$6:$H$819,7,0))</f>
        <v>-</v>
      </c>
      <c r="H238" s="36" t="str">
        <f>IF(OR(E238="",E238="F",F238="DQ",F238="DNF",F238="DNS",F238=""),"-",VLOOKUP(C238,'FERDİ SONUÇ'!$B$6:$H$819,7,0))</f>
        <v>-</v>
      </c>
      <c r="I238" s="38" t="str">
        <f>IF(ISERROR(SMALL(H236:H240,3)),"-",SMALL(H236:H240,3))</f>
        <v>-</v>
      </c>
      <c r="J238" s="43">
        <f>IF(C236="","",IF(OR(I236="-",I237="-",I238="-",I239="-"),"DQ",SUM(I236,I237,I238,I239)))</f>
      </c>
      <c r="AZ238" s="30">
        <v>1278</v>
      </c>
    </row>
    <row r="239" spans="1:52" ht="15" customHeight="1">
      <c r="A239" s="31"/>
      <c r="B239" s="33"/>
      <c r="C239" s="34"/>
      <c r="D239" s="35">
        <f>IF(ISERROR(VLOOKUP($C239,'START LİSTE'!$B$6:$G$1006,2,0)),"",VLOOKUP($C239,'START LİSTE'!$B$6:$G$1006,2,0))</f>
      </c>
      <c r="E239" s="36">
        <f>IF(ISERROR(VLOOKUP($C239,'START LİSTE'!$B$6:$G$1006,4,0)),"",VLOOKUP($C239,'START LİSTE'!$B$6:$G$1006,4,0))</f>
      </c>
      <c r="F239" s="131">
        <f>IF(ISERROR(VLOOKUP($C239,'FERDİ SONUÇ'!$B$6:$H$819,6,0)),"",VLOOKUP($C239,'FERDİ SONUÇ'!$B$6:$H$819,6,0))</f>
      </c>
      <c r="G239" s="36" t="str">
        <f>IF(OR(E239="",F239="DQ",F239="DNF",F239="DNS",F239=""),"-",VLOOKUP(C239,'FERDİ SONUÇ'!$B$6:$H$819,7,0))</f>
        <v>-</v>
      </c>
      <c r="H239" s="36" t="str">
        <f>IF(OR(E239="",E239="F",F239="DQ",F239="DNF",F239="DNS",F239=""),"-",VLOOKUP(C239,'FERDİ SONUÇ'!$B$6:$H$819,7,0))</f>
        <v>-</v>
      </c>
      <c r="I239" s="38" t="str">
        <f>IF(ISERROR(SMALL(H236:H240,4)),"-",SMALL(H236:H240,4))</f>
        <v>-</v>
      </c>
      <c r="J239" s="32"/>
      <c r="AZ239" s="30">
        <v>1279</v>
      </c>
    </row>
    <row r="240" spans="1:52" ht="15" customHeight="1">
      <c r="A240" s="31"/>
      <c r="B240" s="33"/>
      <c r="C240" s="47"/>
      <c r="D240" s="35">
        <f>IF(ISERROR(VLOOKUP($C240,'START LİSTE'!$B$6:$G$1006,2,0)),"",VLOOKUP($C240,'START LİSTE'!$B$6:$G$1006,2,0))</f>
      </c>
      <c r="E240" s="36">
        <f>IF(ISERROR(VLOOKUP($C240,'START LİSTE'!$B$6:$G$1006,4,0)),"",VLOOKUP($C240,'START LİSTE'!$B$6:$G$1006,4,0))</f>
      </c>
      <c r="F240" s="131">
        <f>IF(ISERROR(VLOOKUP($C240,'FERDİ SONUÇ'!$B$6:$H$819,6,0)),"",VLOOKUP($C240,'FERDİ SONUÇ'!$B$6:$H$819,6,0))</f>
      </c>
      <c r="G240" s="36" t="str">
        <f>IF(OR(E240="",F240="DQ",F240="DNF",F240="DNS",F240=""),"-",VLOOKUP(C240,'FERDİ SONUÇ'!$B$6:$H$819,7,0))</f>
        <v>-</v>
      </c>
      <c r="H240" s="36" t="str">
        <f>IF(OR(E240="",E240="F",F240="DQ",F240="DNF",F240="DNS",F240=""),"-",VLOOKUP(C240,'FERDİ SONUÇ'!$B$6:$H$819,7,0))</f>
        <v>-</v>
      </c>
      <c r="I240" s="38" t="str">
        <f>IF(ISERROR(SMALL(H236:H240,5)),"-",SMALL(H236:H240,5))</f>
        <v>-</v>
      </c>
      <c r="J240" s="32"/>
      <c r="AZ240" s="30">
        <v>1280</v>
      </c>
    </row>
    <row r="241" spans="1:52" ht="15" customHeight="1">
      <c r="A241" s="21"/>
      <c r="B241" s="23"/>
      <c r="C241" s="46"/>
      <c r="D241" s="25">
        <f>IF(ISERROR(VLOOKUP($C241,'START LİSTE'!$B$6:$G$1006,2,0)),"",VLOOKUP($C241,'START LİSTE'!$B$6:$G$1006,2,0))</f>
      </c>
      <c r="E241" s="26">
        <f>IF(ISERROR(VLOOKUP($C241,'START LİSTE'!$B$6:$G$1006,4,0)),"",VLOOKUP($C241,'START LİSTE'!$B$6:$G$1006,4,0))</f>
      </c>
      <c r="F241" s="130">
        <f>IF(ISERROR(VLOOKUP($C241,'FERDİ SONUÇ'!$B$6:$H$819,6,0)),"",VLOOKUP($C241,'FERDİ SONUÇ'!$B$6:$H$819,6,0))</f>
      </c>
      <c r="G241" s="26" t="str">
        <f>IF(OR(E241="",F241="DQ",F241="DNF",F241="DNS",F241=""),"-",VLOOKUP(C241,'FERDİ SONUÇ'!$B$6:$H$819,7,0))</f>
        <v>-</v>
      </c>
      <c r="H241" s="26" t="str">
        <f>IF(OR(E241="",E241="F",F241="DQ",F241="DNF",F241="DNS",F241=""),"-",VLOOKUP(C241,'FERDİ SONUÇ'!$B$6:$H$819,7,0))</f>
        <v>-</v>
      </c>
      <c r="I241" s="28" t="str">
        <f>IF(ISERROR(SMALL(H241:H245,1)),"-",SMALL(H241:H245,1))</f>
        <v>-</v>
      </c>
      <c r="J241" s="22"/>
      <c r="AZ241" s="30">
        <v>1282</v>
      </c>
    </row>
    <row r="242" spans="1:52" ht="15" customHeight="1">
      <c r="A242" s="31"/>
      <c r="B242" s="33"/>
      <c r="C242" s="34"/>
      <c r="D242" s="35">
        <f>IF(ISERROR(VLOOKUP($C242,'START LİSTE'!$B$6:$G$1006,2,0)),"",VLOOKUP($C242,'START LİSTE'!$B$6:$G$1006,2,0))</f>
      </c>
      <c r="E242" s="36">
        <f>IF(ISERROR(VLOOKUP($C242,'START LİSTE'!$B$6:$G$1006,4,0)),"",VLOOKUP($C242,'START LİSTE'!$B$6:$G$1006,4,0))</f>
      </c>
      <c r="F242" s="131">
        <f>IF(ISERROR(VLOOKUP($C242,'FERDİ SONUÇ'!$B$6:$H$819,6,0)),"",VLOOKUP($C242,'FERDİ SONUÇ'!$B$6:$H$819,6,0))</f>
      </c>
      <c r="G242" s="36" t="str">
        <f>IF(OR(E242="",F242="DQ",F242="DNF",F242="DNS",F242=""),"-",VLOOKUP(C242,'FERDİ SONUÇ'!$B$6:$H$819,7,0))</f>
        <v>-</v>
      </c>
      <c r="H242" s="36" t="str">
        <f>IF(OR(E242="",E242="F",F242="DQ",F242="DNF",F242="DNS",F242=""),"-",VLOOKUP(C242,'FERDİ SONUÇ'!$B$6:$H$819,7,0))</f>
        <v>-</v>
      </c>
      <c r="I242" s="38" t="str">
        <f>IF(ISERROR(SMALL(H241:H245,2)),"-",SMALL(H241:H245,2))</f>
        <v>-</v>
      </c>
      <c r="J242" s="32"/>
      <c r="AZ242" s="30">
        <v>1283</v>
      </c>
    </row>
    <row r="243" spans="1:52" ht="15" customHeight="1">
      <c r="A243" s="44">
        <f>IF(AND(B243&lt;&gt;"",J243&lt;&gt;"DQ"),COUNT(J$6:J$305)-(RANK(J243,J$6:J$305)+COUNTIF(J$6:J243,J243))+2,IF(C241&lt;&gt;"",AZ243,""))</f>
      </c>
      <c r="B243" s="33">
        <f>IF(ISERROR(VLOOKUP(C241,'START LİSTE'!$B$6:$G$1006,3,0)),"",VLOOKUP(C241,'START LİSTE'!$B$6:$G$1006,3,0))</f>
      </c>
      <c r="C243" s="34"/>
      <c r="D243" s="35">
        <f>IF(ISERROR(VLOOKUP($C243,'START LİSTE'!$B$6:$G$1006,2,0)),"",VLOOKUP($C243,'START LİSTE'!$B$6:$G$1006,2,0))</f>
      </c>
      <c r="E243" s="36">
        <f>IF(ISERROR(VLOOKUP($C243,'START LİSTE'!$B$6:$G$1006,4,0)),"",VLOOKUP($C243,'START LİSTE'!$B$6:$G$1006,4,0))</f>
      </c>
      <c r="F243" s="131">
        <f>IF(ISERROR(VLOOKUP($C243,'FERDİ SONUÇ'!$B$6:$H$819,6,0)),"",VLOOKUP($C243,'FERDİ SONUÇ'!$B$6:$H$819,6,0))</f>
      </c>
      <c r="G243" s="36" t="str">
        <f>IF(OR(E243="",F243="DQ",F243="DNF",F243="DNS",F243=""),"-",VLOOKUP(C243,'FERDİ SONUÇ'!$B$6:$H$819,7,0))</f>
        <v>-</v>
      </c>
      <c r="H243" s="36" t="str">
        <f>IF(OR(E243="",E243="F",F243="DQ",F243="DNF",F243="DNS",F243=""),"-",VLOOKUP(C243,'FERDİ SONUÇ'!$B$6:$H$819,7,0))</f>
        <v>-</v>
      </c>
      <c r="I243" s="38" t="str">
        <f>IF(ISERROR(SMALL(H241:H245,3)),"-",SMALL(H241:H245,3))</f>
        <v>-</v>
      </c>
      <c r="J243" s="43">
        <f>IF(C241="","",IF(OR(I241="-",I242="-",I243="-",I244="-"),"DQ",SUM(I241,I242,I243,I244)))</f>
      </c>
      <c r="AZ243" s="30">
        <v>1284</v>
      </c>
    </row>
    <row r="244" spans="1:52" ht="15" customHeight="1">
      <c r="A244" s="31"/>
      <c r="B244" s="33"/>
      <c r="C244" s="34"/>
      <c r="D244" s="35">
        <f>IF(ISERROR(VLOOKUP($C244,'START LİSTE'!$B$6:$G$1006,2,0)),"",VLOOKUP($C244,'START LİSTE'!$B$6:$G$1006,2,0))</f>
      </c>
      <c r="E244" s="36">
        <f>IF(ISERROR(VLOOKUP($C244,'START LİSTE'!$B$6:$G$1006,4,0)),"",VLOOKUP($C244,'START LİSTE'!$B$6:$G$1006,4,0))</f>
      </c>
      <c r="F244" s="131">
        <f>IF(ISERROR(VLOOKUP($C244,'FERDİ SONUÇ'!$B$6:$H$819,6,0)),"",VLOOKUP($C244,'FERDİ SONUÇ'!$B$6:$H$819,6,0))</f>
      </c>
      <c r="G244" s="36" t="str">
        <f>IF(OR(E244="",F244="DQ",F244="DNF",F244="DNS",F244=""),"-",VLOOKUP(C244,'FERDİ SONUÇ'!$B$6:$H$819,7,0))</f>
        <v>-</v>
      </c>
      <c r="H244" s="36" t="str">
        <f>IF(OR(E244="",E244="F",F244="DQ",F244="DNF",F244="DNS",F244=""),"-",VLOOKUP(C244,'FERDİ SONUÇ'!$B$6:$H$819,7,0))</f>
        <v>-</v>
      </c>
      <c r="I244" s="38" t="str">
        <f>IF(ISERROR(SMALL(H241:H245,4)),"-",SMALL(H241:H245,4))</f>
        <v>-</v>
      </c>
      <c r="J244" s="32"/>
      <c r="AZ244" s="30">
        <v>1285</v>
      </c>
    </row>
    <row r="245" spans="1:52" ht="15" customHeight="1">
      <c r="A245" s="31"/>
      <c r="B245" s="33"/>
      <c r="C245" s="47"/>
      <c r="D245" s="35">
        <f>IF(ISERROR(VLOOKUP($C245,'START LİSTE'!$B$6:$G$1006,2,0)),"",VLOOKUP($C245,'START LİSTE'!$B$6:$G$1006,2,0))</f>
      </c>
      <c r="E245" s="36">
        <f>IF(ISERROR(VLOOKUP($C245,'START LİSTE'!$B$6:$G$1006,4,0)),"",VLOOKUP($C245,'START LİSTE'!$B$6:$G$1006,4,0))</f>
      </c>
      <c r="F245" s="131">
        <f>IF(ISERROR(VLOOKUP($C245,'FERDİ SONUÇ'!$B$6:$H$819,6,0)),"",VLOOKUP($C245,'FERDİ SONUÇ'!$B$6:$H$819,6,0))</f>
      </c>
      <c r="G245" s="36" t="str">
        <f>IF(OR(E245="",F245="DQ",F245="DNF",F245="DNS",F245=""),"-",VLOOKUP(C245,'FERDİ SONUÇ'!$B$6:$H$819,7,0))</f>
        <v>-</v>
      </c>
      <c r="H245" s="36" t="str">
        <f>IF(OR(E245="",E245="F",F245="DQ",F245="DNF",F245="DNS",F245=""),"-",VLOOKUP(C245,'FERDİ SONUÇ'!$B$6:$H$819,7,0))</f>
        <v>-</v>
      </c>
      <c r="I245" s="38" t="str">
        <f>IF(ISERROR(SMALL(H241:H245,5)),"-",SMALL(H241:H245,5))</f>
        <v>-</v>
      </c>
      <c r="J245" s="32"/>
      <c r="AZ245" s="30">
        <v>1286</v>
      </c>
    </row>
    <row r="246" spans="1:52" ht="15" customHeight="1">
      <c r="A246" s="21"/>
      <c r="B246" s="23"/>
      <c r="C246" s="46"/>
      <c r="D246" s="25">
        <f>IF(ISERROR(VLOOKUP($C246,'START LİSTE'!$B$6:$G$1006,2,0)),"",VLOOKUP($C246,'START LİSTE'!$B$6:$G$1006,2,0))</f>
      </c>
      <c r="E246" s="26">
        <f>IF(ISERROR(VLOOKUP($C246,'START LİSTE'!$B$6:$G$1006,4,0)),"",VLOOKUP($C246,'START LİSTE'!$B$6:$G$1006,4,0))</f>
      </c>
      <c r="F246" s="130">
        <f>IF(ISERROR(VLOOKUP($C246,'FERDİ SONUÇ'!$B$6:$H$819,6,0)),"",VLOOKUP($C246,'FERDİ SONUÇ'!$B$6:$H$819,6,0))</f>
      </c>
      <c r="G246" s="26" t="str">
        <f>IF(OR(E246="",F246="DQ",F246="DNF",F246="DNS",F246=""),"-",VLOOKUP(C246,'FERDİ SONUÇ'!$B$6:$H$819,7,0))</f>
        <v>-</v>
      </c>
      <c r="H246" s="26" t="str">
        <f>IF(OR(E246="",E246="F",F246="DQ",F246="DNF",F246="DNS",F246=""),"-",VLOOKUP(C246,'FERDİ SONUÇ'!$B$6:$H$819,7,0))</f>
        <v>-</v>
      </c>
      <c r="I246" s="28" t="str">
        <f>IF(ISERROR(SMALL(H246:H250,1)),"-",SMALL(H246:H250,1))</f>
        <v>-</v>
      </c>
      <c r="J246" s="22"/>
      <c r="AZ246" s="30">
        <v>1288</v>
      </c>
    </row>
    <row r="247" spans="1:52" ht="15" customHeight="1">
      <c r="A247" s="31"/>
      <c r="B247" s="33"/>
      <c r="C247" s="34"/>
      <c r="D247" s="35">
        <f>IF(ISERROR(VLOOKUP($C247,'START LİSTE'!$B$6:$G$1006,2,0)),"",VLOOKUP($C247,'START LİSTE'!$B$6:$G$1006,2,0))</f>
      </c>
      <c r="E247" s="36">
        <f>IF(ISERROR(VLOOKUP($C247,'START LİSTE'!$B$6:$G$1006,4,0)),"",VLOOKUP($C247,'START LİSTE'!$B$6:$G$1006,4,0))</f>
      </c>
      <c r="F247" s="131">
        <f>IF(ISERROR(VLOOKUP($C247,'FERDİ SONUÇ'!$B$6:$H$819,6,0)),"",VLOOKUP($C247,'FERDİ SONUÇ'!$B$6:$H$819,6,0))</f>
      </c>
      <c r="G247" s="36" t="str">
        <f>IF(OR(E247="",F247="DQ",F247="DNF",F247="DNS",F247=""),"-",VLOOKUP(C247,'FERDİ SONUÇ'!$B$6:$H$819,7,0))</f>
        <v>-</v>
      </c>
      <c r="H247" s="36" t="str">
        <f>IF(OR(E247="",E247="F",F247="DQ",F247="DNF",F247="DNS",F247=""),"-",VLOOKUP(C247,'FERDİ SONUÇ'!$B$6:$H$819,7,0))</f>
        <v>-</v>
      </c>
      <c r="I247" s="38" t="str">
        <f>IF(ISERROR(SMALL(H246:H250,2)),"-",SMALL(H246:H250,2))</f>
        <v>-</v>
      </c>
      <c r="J247" s="32"/>
      <c r="AZ247" s="30">
        <v>1289</v>
      </c>
    </row>
    <row r="248" spans="1:52" ht="15" customHeight="1">
      <c r="A248" s="44">
        <f>IF(AND(B248&lt;&gt;"",J248&lt;&gt;"DQ"),COUNT(J$6:J$305)-(RANK(J248,J$6:J$305)+COUNTIF(J$6:J248,J248))+2,IF(C246&lt;&gt;"",AZ248,""))</f>
      </c>
      <c r="B248" s="33">
        <f>IF(ISERROR(VLOOKUP(C246,'START LİSTE'!$B$6:$G$1006,3,0)),"",VLOOKUP(C246,'START LİSTE'!$B$6:$G$1006,3,0))</f>
      </c>
      <c r="C248" s="34"/>
      <c r="D248" s="35">
        <f>IF(ISERROR(VLOOKUP($C248,'START LİSTE'!$B$6:$G$1006,2,0)),"",VLOOKUP($C248,'START LİSTE'!$B$6:$G$1006,2,0))</f>
      </c>
      <c r="E248" s="36">
        <f>IF(ISERROR(VLOOKUP($C248,'START LİSTE'!$B$6:$G$1006,4,0)),"",VLOOKUP($C248,'START LİSTE'!$B$6:$G$1006,4,0))</f>
      </c>
      <c r="F248" s="131">
        <f>IF(ISERROR(VLOOKUP($C248,'FERDİ SONUÇ'!$B$6:$H$819,6,0)),"",VLOOKUP($C248,'FERDİ SONUÇ'!$B$6:$H$819,6,0))</f>
      </c>
      <c r="G248" s="36" t="str">
        <f>IF(OR(E248="",F248="DQ",F248="DNF",F248="DNS",F248=""),"-",VLOOKUP(C248,'FERDİ SONUÇ'!$B$6:$H$819,7,0))</f>
        <v>-</v>
      </c>
      <c r="H248" s="36" t="str">
        <f>IF(OR(E248="",E248="F",F248="DQ",F248="DNF",F248="DNS",F248=""),"-",VLOOKUP(C248,'FERDİ SONUÇ'!$B$6:$H$819,7,0))</f>
        <v>-</v>
      </c>
      <c r="I248" s="38" t="str">
        <f>IF(ISERROR(SMALL(H246:H250,3)),"-",SMALL(H246:H250,3))</f>
        <v>-</v>
      </c>
      <c r="J248" s="43">
        <f>IF(C246="","",IF(OR(I246="-",I247="-",I248="-",I249="-"),"DQ",SUM(I246,I247,I248,I249)))</f>
      </c>
      <c r="AZ248" s="30">
        <v>1290</v>
      </c>
    </row>
    <row r="249" spans="1:52" ht="15" customHeight="1">
      <c r="A249" s="31"/>
      <c r="B249" s="33"/>
      <c r="C249" s="34"/>
      <c r="D249" s="35">
        <f>IF(ISERROR(VLOOKUP($C249,'START LİSTE'!$B$6:$G$1006,2,0)),"",VLOOKUP($C249,'START LİSTE'!$B$6:$G$1006,2,0))</f>
      </c>
      <c r="E249" s="36">
        <f>IF(ISERROR(VLOOKUP($C249,'START LİSTE'!$B$6:$G$1006,4,0)),"",VLOOKUP($C249,'START LİSTE'!$B$6:$G$1006,4,0))</f>
      </c>
      <c r="F249" s="131">
        <f>IF(ISERROR(VLOOKUP($C249,'FERDİ SONUÇ'!$B$6:$H$819,6,0)),"",VLOOKUP($C249,'FERDİ SONUÇ'!$B$6:$H$819,6,0))</f>
      </c>
      <c r="G249" s="36" t="str">
        <f>IF(OR(E249="",F249="DQ",F249="DNF",F249="DNS",F249=""),"-",VLOOKUP(C249,'FERDİ SONUÇ'!$B$6:$H$819,7,0))</f>
        <v>-</v>
      </c>
      <c r="H249" s="36" t="str">
        <f>IF(OR(E249="",E249="F",F249="DQ",F249="DNF",F249="DNS",F249=""),"-",VLOOKUP(C249,'FERDİ SONUÇ'!$B$6:$H$819,7,0))</f>
        <v>-</v>
      </c>
      <c r="I249" s="38" t="str">
        <f>IF(ISERROR(SMALL(H246:H250,4)),"-",SMALL(H246:H250,4))</f>
        <v>-</v>
      </c>
      <c r="J249" s="32"/>
      <c r="AZ249" s="30">
        <v>1291</v>
      </c>
    </row>
    <row r="250" spans="1:52" ht="15" customHeight="1">
      <c r="A250" s="31"/>
      <c r="B250" s="33"/>
      <c r="C250" s="47"/>
      <c r="D250" s="35">
        <f>IF(ISERROR(VLOOKUP($C250,'START LİSTE'!$B$6:$G$1006,2,0)),"",VLOOKUP($C250,'START LİSTE'!$B$6:$G$1006,2,0))</f>
      </c>
      <c r="E250" s="36">
        <f>IF(ISERROR(VLOOKUP($C250,'START LİSTE'!$B$6:$G$1006,4,0)),"",VLOOKUP($C250,'START LİSTE'!$B$6:$G$1006,4,0))</f>
      </c>
      <c r="F250" s="131">
        <f>IF(ISERROR(VLOOKUP($C250,'FERDİ SONUÇ'!$B$6:$H$819,6,0)),"",VLOOKUP($C250,'FERDİ SONUÇ'!$B$6:$H$819,6,0))</f>
      </c>
      <c r="G250" s="36" t="str">
        <f>IF(OR(E250="",F250="DQ",F250="DNF",F250="DNS",F250=""),"-",VLOOKUP(C250,'FERDİ SONUÇ'!$B$6:$H$819,7,0))</f>
        <v>-</v>
      </c>
      <c r="H250" s="36" t="str">
        <f>IF(OR(E250="",E250="F",F250="DQ",F250="DNF",F250="DNS",F250=""),"-",VLOOKUP(C250,'FERDİ SONUÇ'!$B$6:$H$819,7,0))</f>
        <v>-</v>
      </c>
      <c r="I250" s="38" t="str">
        <f>IF(ISERROR(SMALL(H246:H250,5)),"-",SMALL(H246:H250,5))</f>
        <v>-</v>
      </c>
      <c r="J250" s="32"/>
      <c r="AZ250" s="30">
        <v>1292</v>
      </c>
    </row>
    <row r="251" spans="1:52" ht="15" customHeight="1">
      <c r="A251" s="21"/>
      <c r="B251" s="23"/>
      <c r="C251" s="46"/>
      <c r="D251" s="25">
        <f>IF(ISERROR(VLOOKUP($C251,'START LİSTE'!$B$6:$G$1006,2,0)),"",VLOOKUP($C251,'START LİSTE'!$B$6:$G$1006,2,0))</f>
      </c>
      <c r="E251" s="26">
        <f>IF(ISERROR(VLOOKUP($C251,'START LİSTE'!$B$6:$G$1006,4,0)),"",VLOOKUP($C251,'START LİSTE'!$B$6:$G$1006,4,0))</f>
      </c>
      <c r="F251" s="130">
        <f>IF(ISERROR(VLOOKUP($C251,'FERDİ SONUÇ'!$B$6:$H$819,6,0)),"",VLOOKUP($C251,'FERDİ SONUÇ'!$B$6:$H$819,6,0))</f>
      </c>
      <c r="G251" s="26" t="str">
        <f>IF(OR(E251="",F251="DQ",F251="DNF",F251="DNS",F251=""),"-",VLOOKUP(C251,'FERDİ SONUÇ'!$B$6:$H$819,7,0))</f>
        <v>-</v>
      </c>
      <c r="H251" s="26" t="str">
        <f>IF(OR(E251="",E251="F",F251="DQ",F251="DNF",F251="DNS",F251=""),"-",VLOOKUP(C251,'FERDİ SONUÇ'!$B$6:$H$819,7,0))</f>
        <v>-</v>
      </c>
      <c r="I251" s="28" t="str">
        <f>IF(ISERROR(SMALL(H251:H255,1)),"-",SMALL(H251:H255,1))</f>
        <v>-</v>
      </c>
      <c r="J251" s="22"/>
      <c r="AZ251" s="30">
        <v>1294</v>
      </c>
    </row>
    <row r="252" spans="1:52" ht="15" customHeight="1">
      <c r="A252" s="31"/>
      <c r="B252" s="33"/>
      <c r="C252" s="34"/>
      <c r="D252" s="35">
        <f>IF(ISERROR(VLOOKUP($C252,'START LİSTE'!$B$6:$G$1006,2,0)),"",VLOOKUP($C252,'START LİSTE'!$B$6:$G$1006,2,0))</f>
      </c>
      <c r="E252" s="36">
        <f>IF(ISERROR(VLOOKUP($C252,'START LİSTE'!$B$6:$G$1006,4,0)),"",VLOOKUP($C252,'START LİSTE'!$B$6:$G$1006,4,0))</f>
      </c>
      <c r="F252" s="131">
        <f>IF(ISERROR(VLOOKUP($C252,'FERDİ SONUÇ'!$B$6:$H$819,6,0)),"",VLOOKUP($C252,'FERDİ SONUÇ'!$B$6:$H$819,6,0))</f>
      </c>
      <c r="G252" s="36" t="str">
        <f>IF(OR(E252="",F252="DQ",F252="DNF",F252="DNS",F252=""),"-",VLOOKUP(C252,'FERDİ SONUÇ'!$B$6:$H$819,7,0))</f>
        <v>-</v>
      </c>
      <c r="H252" s="36" t="str">
        <f>IF(OR(E252="",E252="F",F252="DQ",F252="DNF",F252="DNS",F252=""),"-",VLOOKUP(C252,'FERDİ SONUÇ'!$B$6:$H$819,7,0))</f>
        <v>-</v>
      </c>
      <c r="I252" s="38" t="str">
        <f>IF(ISERROR(SMALL(H251:H255,2)),"-",SMALL(H251:H255,2))</f>
        <v>-</v>
      </c>
      <c r="J252" s="32"/>
      <c r="AZ252" s="30">
        <v>1295</v>
      </c>
    </row>
    <row r="253" spans="1:52" ht="15" customHeight="1">
      <c r="A253" s="44">
        <f>IF(AND(B253&lt;&gt;"",J253&lt;&gt;"DQ"),COUNT(J$6:J$305)-(RANK(J253,J$6:J$305)+COUNTIF(J$6:J253,J253))+2,IF(C251&lt;&gt;"",AZ253,""))</f>
      </c>
      <c r="B253" s="33">
        <f>IF(ISERROR(VLOOKUP(C251,'START LİSTE'!$B$6:$G$1006,3,0)),"",VLOOKUP(C251,'START LİSTE'!$B$6:$G$1006,3,0))</f>
      </c>
      <c r="C253" s="34"/>
      <c r="D253" s="35">
        <f>IF(ISERROR(VLOOKUP($C253,'START LİSTE'!$B$6:$G$1006,2,0)),"",VLOOKUP($C253,'START LİSTE'!$B$6:$G$1006,2,0))</f>
      </c>
      <c r="E253" s="36">
        <f>IF(ISERROR(VLOOKUP($C253,'START LİSTE'!$B$6:$G$1006,4,0)),"",VLOOKUP($C253,'START LİSTE'!$B$6:$G$1006,4,0))</f>
      </c>
      <c r="F253" s="131">
        <f>IF(ISERROR(VLOOKUP($C253,'FERDİ SONUÇ'!$B$6:$H$819,6,0)),"",VLOOKUP($C253,'FERDİ SONUÇ'!$B$6:$H$819,6,0))</f>
      </c>
      <c r="G253" s="36" t="str">
        <f>IF(OR(E253="",F253="DQ",F253="DNF",F253="DNS",F253=""),"-",VLOOKUP(C253,'FERDİ SONUÇ'!$B$6:$H$819,7,0))</f>
        <v>-</v>
      </c>
      <c r="H253" s="36" t="str">
        <f>IF(OR(E253="",E253="F",F253="DQ",F253="DNF",F253="DNS",F253=""),"-",VLOOKUP(C253,'FERDİ SONUÇ'!$B$6:$H$819,7,0))</f>
        <v>-</v>
      </c>
      <c r="I253" s="38" t="str">
        <f>IF(ISERROR(SMALL(H251:H255,3)),"-",SMALL(H251:H255,3))</f>
        <v>-</v>
      </c>
      <c r="J253" s="43">
        <f>IF(C251="","",IF(OR(I251="-",I252="-",I253="-",I254="-"),"DQ",SUM(I251,I252,I253,I254)))</f>
      </c>
      <c r="AZ253" s="30">
        <v>1296</v>
      </c>
    </row>
    <row r="254" spans="1:52" ht="15" customHeight="1">
      <c r="A254" s="31"/>
      <c r="B254" s="33"/>
      <c r="C254" s="34"/>
      <c r="D254" s="35">
        <f>IF(ISERROR(VLOOKUP($C254,'START LİSTE'!$B$6:$G$1006,2,0)),"",VLOOKUP($C254,'START LİSTE'!$B$6:$G$1006,2,0))</f>
      </c>
      <c r="E254" s="36">
        <f>IF(ISERROR(VLOOKUP($C254,'START LİSTE'!$B$6:$G$1006,4,0)),"",VLOOKUP($C254,'START LİSTE'!$B$6:$G$1006,4,0))</f>
      </c>
      <c r="F254" s="131">
        <f>IF(ISERROR(VLOOKUP($C254,'FERDİ SONUÇ'!$B$6:$H$819,6,0)),"",VLOOKUP($C254,'FERDİ SONUÇ'!$B$6:$H$819,6,0))</f>
      </c>
      <c r="G254" s="36" t="str">
        <f>IF(OR(E254="",F254="DQ",F254="DNF",F254="DNS",F254=""),"-",VLOOKUP(C254,'FERDİ SONUÇ'!$B$6:$H$819,7,0))</f>
        <v>-</v>
      </c>
      <c r="H254" s="36" t="str">
        <f>IF(OR(E254="",E254="F",F254="DQ",F254="DNF",F254="DNS",F254=""),"-",VLOOKUP(C254,'FERDİ SONUÇ'!$B$6:$H$819,7,0))</f>
        <v>-</v>
      </c>
      <c r="I254" s="38" t="str">
        <f>IF(ISERROR(SMALL(H251:H255,4)),"-",SMALL(H251:H255,4))</f>
        <v>-</v>
      </c>
      <c r="J254" s="32"/>
      <c r="AZ254" s="30">
        <v>1297</v>
      </c>
    </row>
    <row r="255" spans="1:52" ht="15" customHeight="1">
      <c r="A255" s="31"/>
      <c r="B255" s="33"/>
      <c r="C255" s="47"/>
      <c r="D255" s="35">
        <f>IF(ISERROR(VLOOKUP($C255,'START LİSTE'!$B$6:$G$1006,2,0)),"",VLOOKUP($C255,'START LİSTE'!$B$6:$G$1006,2,0))</f>
      </c>
      <c r="E255" s="36">
        <f>IF(ISERROR(VLOOKUP($C255,'START LİSTE'!$B$6:$G$1006,4,0)),"",VLOOKUP($C255,'START LİSTE'!$B$6:$G$1006,4,0))</f>
      </c>
      <c r="F255" s="131">
        <f>IF(ISERROR(VLOOKUP($C255,'FERDİ SONUÇ'!$B$6:$H$819,6,0)),"",VLOOKUP($C255,'FERDİ SONUÇ'!$B$6:$H$819,6,0))</f>
      </c>
      <c r="G255" s="36" t="str">
        <f>IF(OR(E255="",F255="DQ",F255="DNF",F255="DNS",F255=""),"-",VLOOKUP(C255,'FERDİ SONUÇ'!$B$6:$H$819,7,0))</f>
        <v>-</v>
      </c>
      <c r="H255" s="36" t="str">
        <f>IF(OR(E255="",E255="F",F255="DQ",F255="DNF",F255="DNS",F255=""),"-",VLOOKUP(C255,'FERDİ SONUÇ'!$B$6:$H$819,7,0))</f>
        <v>-</v>
      </c>
      <c r="I255" s="38" t="str">
        <f>IF(ISERROR(SMALL(H251:H255,5)),"-",SMALL(H251:H255,5))</f>
        <v>-</v>
      </c>
      <c r="J255" s="32"/>
      <c r="AZ255" s="30">
        <v>1298</v>
      </c>
    </row>
    <row r="256" spans="1:52" ht="15" customHeight="1">
      <c r="A256" s="21"/>
      <c r="B256" s="23"/>
      <c r="C256" s="46"/>
      <c r="D256" s="25">
        <f>IF(ISERROR(VLOOKUP($C256,'START LİSTE'!$B$6:$G$1006,2,0)),"",VLOOKUP($C256,'START LİSTE'!$B$6:$G$1006,2,0))</f>
      </c>
      <c r="E256" s="26">
        <f>IF(ISERROR(VLOOKUP($C256,'START LİSTE'!$B$6:$G$1006,4,0)),"",VLOOKUP($C256,'START LİSTE'!$B$6:$G$1006,4,0))</f>
      </c>
      <c r="F256" s="130">
        <f>IF(ISERROR(VLOOKUP($C256,'FERDİ SONUÇ'!$B$6:$H$819,6,0)),"",VLOOKUP($C256,'FERDİ SONUÇ'!$B$6:$H$819,6,0))</f>
      </c>
      <c r="G256" s="26" t="str">
        <f>IF(OR(E256="",F256="DQ",F256="DNF",F256="DNS",F256=""),"-",VLOOKUP(C256,'FERDİ SONUÇ'!$B$6:$H$819,7,0))</f>
        <v>-</v>
      </c>
      <c r="H256" s="26" t="str">
        <f>IF(OR(E256="",E256="F",F256="DQ",F256="DNF",F256="DNS",F256=""),"-",VLOOKUP(C256,'FERDİ SONUÇ'!$B$6:$H$819,7,0))</f>
        <v>-</v>
      </c>
      <c r="I256" s="28" t="str">
        <f>IF(ISERROR(SMALL(H256:H260,1)),"-",SMALL(H256:H260,1))</f>
        <v>-</v>
      </c>
      <c r="J256" s="22"/>
      <c r="AZ256" s="30">
        <v>1300</v>
      </c>
    </row>
    <row r="257" spans="1:52" ht="15" customHeight="1">
      <c r="A257" s="31"/>
      <c r="B257" s="33"/>
      <c r="C257" s="34"/>
      <c r="D257" s="35">
        <f>IF(ISERROR(VLOOKUP($C257,'START LİSTE'!$B$6:$G$1006,2,0)),"",VLOOKUP($C257,'START LİSTE'!$B$6:$G$1006,2,0))</f>
      </c>
      <c r="E257" s="36">
        <f>IF(ISERROR(VLOOKUP($C257,'START LİSTE'!$B$6:$G$1006,4,0)),"",VLOOKUP($C257,'START LİSTE'!$B$6:$G$1006,4,0))</f>
      </c>
      <c r="F257" s="131">
        <f>IF(ISERROR(VLOOKUP($C257,'FERDİ SONUÇ'!$B$6:$H$819,6,0)),"",VLOOKUP($C257,'FERDİ SONUÇ'!$B$6:$H$819,6,0))</f>
      </c>
      <c r="G257" s="36" t="str">
        <f>IF(OR(E257="",F257="DQ",F257="DNF",F257="DNS",F257=""),"-",VLOOKUP(C257,'FERDİ SONUÇ'!$B$6:$H$819,7,0))</f>
        <v>-</v>
      </c>
      <c r="H257" s="36" t="str">
        <f>IF(OR(E257="",E257="F",F257="DQ",F257="DNF",F257="DNS",F257=""),"-",VLOOKUP(C257,'FERDİ SONUÇ'!$B$6:$H$819,7,0))</f>
        <v>-</v>
      </c>
      <c r="I257" s="38" t="str">
        <f>IF(ISERROR(SMALL(H256:H260,2)),"-",SMALL(H256:H260,2))</f>
        <v>-</v>
      </c>
      <c r="J257" s="32"/>
      <c r="AZ257" s="30">
        <v>1301</v>
      </c>
    </row>
    <row r="258" spans="1:52" ht="15" customHeight="1">
      <c r="A258" s="44">
        <f>IF(AND(B258&lt;&gt;"",J258&lt;&gt;"DQ"),COUNT(J$6:J$305)-(RANK(J258,J$6:J$305)+COUNTIF(J$6:J258,J258))+2,IF(C256&lt;&gt;"",AZ258,""))</f>
      </c>
      <c r="B258" s="33">
        <f>IF(ISERROR(VLOOKUP(C256,'START LİSTE'!$B$6:$G$1006,3,0)),"",VLOOKUP(C256,'START LİSTE'!$B$6:$G$1006,3,0))</f>
      </c>
      <c r="C258" s="34"/>
      <c r="D258" s="35">
        <f>IF(ISERROR(VLOOKUP($C258,'START LİSTE'!$B$6:$G$1006,2,0)),"",VLOOKUP($C258,'START LİSTE'!$B$6:$G$1006,2,0))</f>
      </c>
      <c r="E258" s="36">
        <f>IF(ISERROR(VLOOKUP($C258,'START LİSTE'!$B$6:$G$1006,4,0)),"",VLOOKUP($C258,'START LİSTE'!$B$6:$G$1006,4,0))</f>
      </c>
      <c r="F258" s="131">
        <f>IF(ISERROR(VLOOKUP($C258,'FERDİ SONUÇ'!$B$6:$H$819,6,0)),"",VLOOKUP($C258,'FERDİ SONUÇ'!$B$6:$H$819,6,0))</f>
      </c>
      <c r="G258" s="36" t="str">
        <f>IF(OR(E258="",F258="DQ",F258="DNF",F258="DNS",F258=""),"-",VLOOKUP(C258,'FERDİ SONUÇ'!$B$6:$H$819,7,0))</f>
        <v>-</v>
      </c>
      <c r="H258" s="36" t="str">
        <f>IF(OR(E258="",E258="F",F258="DQ",F258="DNF",F258="DNS",F258=""),"-",VLOOKUP(C258,'FERDİ SONUÇ'!$B$6:$H$819,7,0))</f>
        <v>-</v>
      </c>
      <c r="I258" s="38" t="str">
        <f>IF(ISERROR(SMALL(H256:H260,3)),"-",SMALL(H256:H260,3))</f>
        <v>-</v>
      </c>
      <c r="J258" s="43">
        <f>IF(C256="","",IF(OR(I256="-",I257="-",I258="-",I259="-"),"DQ",SUM(I256,I257,I258,I259)))</f>
      </c>
      <c r="AZ258" s="30">
        <v>1302</v>
      </c>
    </row>
    <row r="259" spans="1:52" ht="15" customHeight="1">
      <c r="A259" s="31"/>
      <c r="B259" s="33"/>
      <c r="C259" s="34"/>
      <c r="D259" s="35">
        <f>IF(ISERROR(VLOOKUP($C259,'START LİSTE'!$B$6:$G$1006,2,0)),"",VLOOKUP($C259,'START LİSTE'!$B$6:$G$1006,2,0))</f>
      </c>
      <c r="E259" s="36">
        <f>IF(ISERROR(VLOOKUP($C259,'START LİSTE'!$B$6:$G$1006,4,0)),"",VLOOKUP($C259,'START LİSTE'!$B$6:$G$1006,4,0))</f>
      </c>
      <c r="F259" s="131">
        <f>IF(ISERROR(VLOOKUP($C259,'FERDİ SONUÇ'!$B$6:$H$819,6,0)),"",VLOOKUP($C259,'FERDİ SONUÇ'!$B$6:$H$819,6,0))</f>
      </c>
      <c r="G259" s="36" t="str">
        <f>IF(OR(E259="",F259="DQ",F259="DNF",F259="DNS",F259=""),"-",VLOOKUP(C259,'FERDİ SONUÇ'!$B$6:$H$819,7,0))</f>
        <v>-</v>
      </c>
      <c r="H259" s="36" t="str">
        <f>IF(OR(E259="",E259="F",F259="DQ",F259="DNF",F259="DNS",F259=""),"-",VLOOKUP(C259,'FERDİ SONUÇ'!$B$6:$H$819,7,0))</f>
        <v>-</v>
      </c>
      <c r="I259" s="38" t="str">
        <f>IF(ISERROR(SMALL(H256:H260,4)),"-",SMALL(H256:H260,4))</f>
        <v>-</v>
      </c>
      <c r="J259" s="32"/>
      <c r="AZ259" s="30">
        <v>1303</v>
      </c>
    </row>
    <row r="260" spans="1:52" ht="15" customHeight="1">
      <c r="A260" s="31"/>
      <c r="B260" s="33"/>
      <c r="C260" s="47"/>
      <c r="D260" s="35">
        <f>IF(ISERROR(VLOOKUP($C260,'START LİSTE'!$B$6:$G$1006,2,0)),"",VLOOKUP($C260,'START LİSTE'!$B$6:$G$1006,2,0))</f>
      </c>
      <c r="E260" s="36">
        <f>IF(ISERROR(VLOOKUP($C260,'START LİSTE'!$B$6:$G$1006,4,0)),"",VLOOKUP($C260,'START LİSTE'!$B$6:$G$1006,4,0))</f>
      </c>
      <c r="F260" s="131">
        <f>IF(ISERROR(VLOOKUP($C260,'FERDİ SONUÇ'!$B$6:$H$819,6,0)),"",VLOOKUP($C260,'FERDİ SONUÇ'!$B$6:$H$819,6,0))</f>
      </c>
      <c r="G260" s="36" t="str">
        <f>IF(OR(E260="",F260="DQ",F260="DNF",F260="DNS",F260=""),"-",VLOOKUP(C260,'FERDİ SONUÇ'!$B$6:$H$819,7,0))</f>
        <v>-</v>
      </c>
      <c r="H260" s="36" t="str">
        <f>IF(OR(E260="",E260="F",F260="DQ",F260="DNF",F260="DNS",F260=""),"-",VLOOKUP(C260,'FERDİ SONUÇ'!$B$6:$H$819,7,0))</f>
        <v>-</v>
      </c>
      <c r="I260" s="38" t="str">
        <f>IF(ISERROR(SMALL(H256:H260,5)),"-",SMALL(H256:H260,5))</f>
        <v>-</v>
      </c>
      <c r="J260" s="32"/>
      <c r="AZ260" s="30">
        <v>1304</v>
      </c>
    </row>
    <row r="261" spans="1:52" ht="15" customHeight="1">
      <c r="A261" s="21"/>
      <c r="B261" s="23"/>
      <c r="C261" s="46"/>
      <c r="D261" s="25">
        <f>IF(ISERROR(VLOOKUP($C261,'START LİSTE'!$B$6:$G$1006,2,0)),"",VLOOKUP($C261,'START LİSTE'!$B$6:$G$1006,2,0))</f>
      </c>
      <c r="E261" s="26">
        <f>IF(ISERROR(VLOOKUP($C261,'START LİSTE'!$B$6:$G$1006,4,0)),"",VLOOKUP($C261,'START LİSTE'!$B$6:$G$1006,4,0))</f>
      </c>
      <c r="F261" s="130">
        <f>IF(ISERROR(VLOOKUP($C261,'FERDİ SONUÇ'!$B$6:$H$819,6,0)),"",VLOOKUP($C261,'FERDİ SONUÇ'!$B$6:$H$819,6,0))</f>
      </c>
      <c r="G261" s="26" t="str">
        <f>IF(OR(E261="",F261="DQ",F261="DNF",F261="DNS",F261=""),"-",VLOOKUP(C261,'FERDİ SONUÇ'!$B$6:$H$819,7,0))</f>
        <v>-</v>
      </c>
      <c r="H261" s="26" t="str">
        <f>IF(OR(E261="",E261="F",F261="DQ",F261="DNF",F261="DNS",F261=""),"-",VLOOKUP(C261,'FERDİ SONUÇ'!$B$6:$H$819,7,0))</f>
        <v>-</v>
      </c>
      <c r="I261" s="28" t="str">
        <f>IF(ISERROR(SMALL(H261:H265,1)),"-",SMALL(H261:H265,1))</f>
        <v>-</v>
      </c>
      <c r="J261" s="22"/>
      <c r="AZ261" s="30">
        <v>1306</v>
      </c>
    </row>
    <row r="262" spans="1:52" ht="15" customHeight="1">
      <c r="A262" s="31"/>
      <c r="B262" s="33"/>
      <c r="C262" s="34"/>
      <c r="D262" s="35">
        <f>IF(ISERROR(VLOOKUP($C262,'START LİSTE'!$B$6:$G$1006,2,0)),"",VLOOKUP($C262,'START LİSTE'!$B$6:$G$1006,2,0))</f>
      </c>
      <c r="E262" s="36">
        <f>IF(ISERROR(VLOOKUP($C262,'START LİSTE'!$B$6:$G$1006,4,0)),"",VLOOKUP($C262,'START LİSTE'!$B$6:$G$1006,4,0))</f>
      </c>
      <c r="F262" s="131">
        <f>IF(ISERROR(VLOOKUP($C262,'FERDİ SONUÇ'!$B$6:$H$819,6,0)),"",VLOOKUP($C262,'FERDİ SONUÇ'!$B$6:$H$819,6,0))</f>
      </c>
      <c r="G262" s="36" t="str">
        <f>IF(OR(E262="",F262="DQ",F262="DNF",F262="DNS",F262=""),"-",VLOOKUP(C262,'FERDİ SONUÇ'!$B$6:$H$819,7,0))</f>
        <v>-</v>
      </c>
      <c r="H262" s="36" t="str">
        <f>IF(OR(E262="",E262="F",F262="DQ",F262="DNF",F262="DNS",F262=""),"-",VLOOKUP(C262,'FERDİ SONUÇ'!$B$6:$H$819,7,0))</f>
        <v>-</v>
      </c>
      <c r="I262" s="38" t="str">
        <f>IF(ISERROR(SMALL(H261:H265,2)),"-",SMALL(H261:H265,2))</f>
        <v>-</v>
      </c>
      <c r="J262" s="32"/>
      <c r="AZ262" s="30">
        <v>1307</v>
      </c>
    </row>
    <row r="263" spans="1:52" ht="15" customHeight="1">
      <c r="A263" s="44">
        <f>IF(AND(B263&lt;&gt;"",J263&lt;&gt;"DQ"),COUNT(J$6:J$305)-(RANK(J263,J$6:J$305)+COUNTIF(J$6:J263,J263))+2,IF(C261&lt;&gt;"",AZ263,""))</f>
      </c>
      <c r="B263" s="33">
        <f>IF(ISERROR(VLOOKUP(C261,'START LİSTE'!$B$6:$G$1006,3,0)),"",VLOOKUP(C261,'START LİSTE'!$B$6:$G$1006,3,0))</f>
      </c>
      <c r="C263" s="34"/>
      <c r="D263" s="35">
        <f>IF(ISERROR(VLOOKUP($C263,'START LİSTE'!$B$6:$G$1006,2,0)),"",VLOOKUP($C263,'START LİSTE'!$B$6:$G$1006,2,0))</f>
      </c>
      <c r="E263" s="36">
        <f>IF(ISERROR(VLOOKUP($C263,'START LİSTE'!$B$6:$G$1006,4,0)),"",VLOOKUP($C263,'START LİSTE'!$B$6:$G$1006,4,0))</f>
      </c>
      <c r="F263" s="131">
        <f>IF(ISERROR(VLOOKUP($C263,'FERDİ SONUÇ'!$B$6:$H$819,6,0)),"",VLOOKUP($C263,'FERDİ SONUÇ'!$B$6:$H$819,6,0))</f>
      </c>
      <c r="G263" s="36" t="str">
        <f>IF(OR(E263="",F263="DQ",F263="DNF",F263="DNS",F263=""),"-",VLOOKUP(C263,'FERDİ SONUÇ'!$B$6:$H$819,7,0))</f>
        <v>-</v>
      </c>
      <c r="H263" s="36" t="str">
        <f>IF(OR(E263="",E263="F",F263="DQ",F263="DNF",F263="DNS",F263=""),"-",VLOOKUP(C263,'FERDİ SONUÇ'!$B$6:$H$819,7,0))</f>
        <v>-</v>
      </c>
      <c r="I263" s="38" t="str">
        <f>IF(ISERROR(SMALL(H261:H265,3)),"-",SMALL(H261:H265,3))</f>
        <v>-</v>
      </c>
      <c r="J263" s="43">
        <f>IF(C261="","",IF(OR(I261="-",I262="-",I263="-",I264="-"),"DQ",SUM(I261,I262,I263,I264)))</f>
      </c>
      <c r="AZ263" s="30">
        <v>1308</v>
      </c>
    </row>
    <row r="264" spans="1:52" ht="15" customHeight="1">
      <c r="A264" s="31"/>
      <c r="B264" s="33"/>
      <c r="C264" s="34"/>
      <c r="D264" s="35">
        <f>IF(ISERROR(VLOOKUP($C264,'START LİSTE'!$B$6:$G$1006,2,0)),"",VLOOKUP($C264,'START LİSTE'!$B$6:$G$1006,2,0))</f>
      </c>
      <c r="E264" s="36">
        <f>IF(ISERROR(VLOOKUP($C264,'START LİSTE'!$B$6:$G$1006,4,0)),"",VLOOKUP($C264,'START LİSTE'!$B$6:$G$1006,4,0))</f>
      </c>
      <c r="F264" s="131">
        <f>IF(ISERROR(VLOOKUP($C264,'FERDİ SONUÇ'!$B$6:$H$819,6,0)),"",VLOOKUP($C264,'FERDİ SONUÇ'!$B$6:$H$819,6,0))</f>
      </c>
      <c r="G264" s="36" t="str">
        <f>IF(OR(E264="",F264="DQ",F264="DNF",F264="DNS",F264=""),"-",VLOOKUP(C264,'FERDİ SONUÇ'!$B$6:$H$819,7,0))</f>
        <v>-</v>
      </c>
      <c r="H264" s="36" t="str">
        <f>IF(OR(E264="",E264="F",F264="DQ",F264="DNF",F264="DNS",F264=""),"-",VLOOKUP(C264,'FERDİ SONUÇ'!$B$6:$H$819,7,0))</f>
        <v>-</v>
      </c>
      <c r="I264" s="38" t="str">
        <f>IF(ISERROR(SMALL(H261:H265,4)),"-",SMALL(H261:H265,4))</f>
        <v>-</v>
      </c>
      <c r="J264" s="32"/>
      <c r="AZ264" s="30">
        <v>1309</v>
      </c>
    </row>
    <row r="265" spans="1:52" ht="15" customHeight="1">
      <c r="A265" s="31"/>
      <c r="B265" s="33"/>
      <c r="C265" s="47"/>
      <c r="D265" s="35">
        <f>IF(ISERROR(VLOOKUP($C265,'START LİSTE'!$B$6:$G$1006,2,0)),"",VLOOKUP($C265,'START LİSTE'!$B$6:$G$1006,2,0))</f>
      </c>
      <c r="E265" s="36">
        <f>IF(ISERROR(VLOOKUP($C265,'START LİSTE'!$B$6:$G$1006,4,0)),"",VLOOKUP($C265,'START LİSTE'!$B$6:$G$1006,4,0))</f>
      </c>
      <c r="F265" s="131">
        <f>IF(ISERROR(VLOOKUP($C265,'FERDİ SONUÇ'!$B$6:$H$819,6,0)),"",VLOOKUP($C265,'FERDİ SONUÇ'!$B$6:$H$819,6,0))</f>
      </c>
      <c r="G265" s="36" t="str">
        <f>IF(OR(E265="",F265="DQ",F265="DNF",F265="DNS",F265=""),"-",VLOOKUP(C265,'FERDİ SONUÇ'!$B$6:$H$819,7,0))</f>
        <v>-</v>
      </c>
      <c r="H265" s="36" t="str">
        <f>IF(OR(E265="",E265="F",F265="DQ",F265="DNF",F265="DNS",F265=""),"-",VLOOKUP(C265,'FERDİ SONUÇ'!$B$6:$H$819,7,0))</f>
        <v>-</v>
      </c>
      <c r="I265" s="38" t="str">
        <f>IF(ISERROR(SMALL(H261:H265,5)),"-",SMALL(H261:H265,5))</f>
        <v>-</v>
      </c>
      <c r="J265" s="32"/>
      <c r="AZ265" s="30">
        <v>1310</v>
      </c>
    </row>
    <row r="266" spans="1:52" ht="15" customHeight="1">
      <c r="A266" s="21"/>
      <c r="B266" s="23"/>
      <c r="C266" s="46"/>
      <c r="D266" s="25">
        <f>IF(ISERROR(VLOOKUP($C266,'START LİSTE'!$B$6:$G$1006,2,0)),"",VLOOKUP($C266,'START LİSTE'!$B$6:$G$1006,2,0))</f>
      </c>
      <c r="E266" s="26">
        <f>IF(ISERROR(VLOOKUP($C266,'START LİSTE'!$B$6:$G$1006,4,0)),"",VLOOKUP($C266,'START LİSTE'!$B$6:$G$1006,4,0))</f>
      </c>
      <c r="F266" s="130">
        <f>IF(ISERROR(VLOOKUP($C266,'FERDİ SONUÇ'!$B$6:$H$819,6,0)),"",VLOOKUP($C266,'FERDİ SONUÇ'!$B$6:$H$819,6,0))</f>
      </c>
      <c r="G266" s="26" t="str">
        <f>IF(OR(E266="",F266="DQ",F266="DNF",F266="DNS",F266=""),"-",VLOOKUP(C266,'FERDİ SONUÇ'!$B$6:$H$819,7,0))</f>
        <v>-</v>
      </c>
      <c r="H266" s="26" t="str">
        <f>IF(OR(E266="",E266="F",F266="DQ",F266="DNF",F266="DNS",F266=""),"-",VLOOKUP(C266,'FERDİ SONUÇ'!$B$6:$H$819,7,0))</f>
        <v>-</v>
      </c>
      <c r="I266" s="28" t="str">
        <f>IF(ISERROR(SMALL(H266:H270,1)),"-",SMALL(H266:H270,1))</f>
        <v>-</v>
      </c>
      <c r="J266" s="22"/>
      <c r="AZ266" s="30">
        <v>1312</v>
      </c>
    </row>
    <row r="267" spans="1:52" ht="15" customHeight="1">
      <c r="A267" s="31"/>
      <c r="B267" s="33"/>
      <c r="C267" s="34"/>
      <c r="D267" s="35">
        <f>IF(ISERROR(VLOOKUP($C267,'START LİSTE'!$B$6:$G$1006,2,0)),"",VLOOKUP($C267,'START LİSTE'!$B$6:$G$1006,2,0))</f>
      </c>
      <c r="E267" s="36">
        <f>IF(ISERROR(VLOOKUP($C267,'START LİSTE'!$B$6:$G$1006,4,0)),"",VLOOKUP($C267,'START LİSTE'!$B$6:$G$1006,4,0))</f>
      </c>
      <c r="F267" s="131">
        <f>IF(ISERROR(VLOOKUP($C267,'FERDİ SONUÇ'!$B$6:$H$819,6,0)),"",VLOOKUP($C267,'FERDİ SONUÇ'!$B$6:$H$819,6,0))</f>
      </c>
      <c r="G267" s="36" t="str">
        <f>IF(OR(E267="",F267="DQ",F267="DNF",F267="DNS",F267=""),"-",VLOOKUP(C267,'FERDİ SONUÇ'!$B$6:$H$819,7,0))</f>
        <v>-</v>
      </c>
      <c r="H267" s="36" t="str">
        <f>IF(OR(E267="",E267="F",F267="DQ",F267="DNF",F267="DNS",F267=""),"-",VLOOKUP(C267,'FERDİ SONUÇ'!$B$6:$H$819,7,0))</f>
        <v>-</v>
      </c>
      <c r="I267" s="38" t="str">
        <f>IF(ISERROR(SMALL(H266:H270,2)),"-",SMALL(H266:H270,2))</f>
        <v>-</v>
      </c>
      <c r="J267" s="32"/>
      <c r="AZ267" s="30">
        <v>1313</v>
      </c>
    </row>
    <row r="268" spans="1:52" ht="15" customHeight="1">
      <c r="A268" s="44">
        <f>IF(AND(B268&lt;&gt;"",J268&lt;&gt;"DQ"),COUNT(J$6:J$305)-(RANK(J268,J$6:J$305)+COUNTIF(J$6:J268,J268))+2,IF(C266&lt;&gt;"",AZ268,""))</f>
      </c>
      <c r="B268" s="33">
        <f>IF(ISERROR(VLOOKUP(C266,'START LİSTE'!$B$6:$G$1006,3,0)),"",VLOOKUP(C266,'START LİSTE'!$B$6:$G$1006,3,0))</f>
      </c>
      <c r="C268" s="34"/>
      <c r="D268" s="35">
        <f>IF(ISERROR(VLOOKUP($C268,'START LİSTE'!$B$6:$G$1006,2,0)),"",VLOOKUP($C268,'START LİSTE'!$B$6:$G$1006,2,0))</f>
      </c>
      <c r="E268" s="36">
        <f>IF(ISERROR(VLOOKUP($C268,'START LİSTE'!$B$6:$G$1006,4,0)),"",VLOOKUP($C268,'START LİSTE'!$B$6:$G$1006,4,0))</f>
      </c>
      <c r="F268" s="131">
        <f>IF(ISERROR(VLOOKUP($C268,'FERDİ SONUÇ'!$B$6:$H$819,6,0)),"",VLOOKUP($C268,'FERDİ SONUÇ'!$B$6:$H$819,6,0))</f>
      </c>
      <c r="G268" s="36" t="str">
        <f>IF(OR(E268="",F268="DQ",F268="DNF",F268="DNS",F268=""),"-",VLOOKUP(C268,'FERDİ SONUÇ'!$B$6:$H$819,7,0))</f>
        <v>-</v>
      </c>
      <c r="H268" s="36" t="str">
        <f>IF(OR(E268="",E268="F",F268="DQ",F268="DNF",F268="DNS",F268=""),"-",VLOOKUP(C268,'FERDİ SONUÇ'!$B$6:$H$819,7,0))</f>
        <v>-</v>
      </c>
      <c r="I268" s="38" t="str">
        <f>IF(ISERROR(SMALL(H266:H270,3)),"-",SMALL(H266:H270,3))</f>
        <v>-</v>
      </c>
      <c r="J268" s="43">
        <f>IF(C266="","",IF(OR(I266="-",I267="-",I268="-",I269="-"),"DQ",SUM(I266,I267,I268,I269)))</f>
      </c>
      <c r="AZ268" s="30">
        <v>1314</v>
      </c>
    </row>
    <row r="269" spans="1:52" ht="15" customHeight="1">
      <c r="A269" s="31"/>
      <c r="B269" s="33"/>
      <c r="C269" s="34"/>
      <c r="D269" s="35">
        <f>IF(ISERROR(VLOOKUP($C269,'START LİSTE'!$B$6:$G$1006,2,0)),"",VLOOKUP($C269,'START LİSTE'!$B$6:$G$1006,2,0))</f>
      </c>
      <c r="E269" s="36">
        <f>IF(ISERROR(VLOOKUP($C269,'START LİSTE'!$B$6:$G$1006,4,0)),"",VLOOKUP($C269,'START LİSTE'!$B$6:$G$1006,4,0))</f>
      </c>
      <c r="F269" s="131">
        <f>IF(ISERROR(VLOOKUP($C269,'FERDİ SONUÇ'!$B$6:$H$819,6,0)),"",VLOOKUP($C269,'FERDİ SONUÇ'!$B$6:$H$819,6,0))</f>
      </c>
      <c r="G269" s="36" t="str">
        <f>IF(OR(E269="",F269="DQ",F269="DNF",F269="DNS",F269=""),"-",VLOOKUP(C269,'FERDİ SONUÇ'!$B$6:$H$819,7,0))</f>
        <v>-</v>
      </c>
      <c r="H269" s="36" t="str">
        <f>IF(OR(E269="",E269="F",F269="DQ",F269="DNF",F269="DNS",F269=""),"-",VLOOKUP(C269,'FERDİ SONUÇ'!$B$6:$H$819,7,0))</f>
        <v>-</v>
      </c>
      <c r="I269" s="38" t="str">
        <f>IF(ISERROR(SMALL(H266:H270,4)),"-",SMALL(H266:H270,4))</f>
        <v>-</v>
      </c>
      <c r="J269" s="32"/>
      <c r="AZ269" s="30">
        <v>1315</v>
      </c>
    </row>
    <row r="270" spans="1:52" ht="15" customHeight="1">
      <c r="A270" s="31"/>
      <c r="B270" s="33"/>
      <c r="C270" s="47"/>
      <c r="D270" s="35">
        <f>IF(ISERROR(VLOOKUP($C270,'START LİSTE'!$B$6:$G$1006,2,0)),"",VLOOKUP($C270,'START LİSTE'!$B$6:$G$1006,2,0))</f>
      </c>
      <c r="E270" s="36">
        <f>IF(ISERROR(VLOOKUP($C270,'START LİSTE'!$B$6:$G$1006,4,0)),"",VLOOKUP($C270,'START LİSTE'!$B$6:$G$1006,4,0))</f>
      </c>
      <c r="F270" s="131">
        <f>IF(ISERROR(VLOOKUP($C270,'FERDİ SONUÇ'!$B$6:$H$819,6,0)),"",VLOOKUP($C270,'FERDİ SONUÇ'!$B$6:$H$819,6,0))</f>
      </c>
      <c r="G270" s="36" t="str">
        <f>IF(OR(E270="",F270="DQ",F270="DNF",F270="DNS",F270=""),"-",VLOOKUP(C270,'FERDİ SONUÇ'!$B$6:$H$819,7,0))</f>
        <v>-</v>
      </c>
      <c r="H270" s="36" t="str">
        <f>IF(OR(E270="",E270="F",F270="DQ",F270="DNF",F270="DNS",F270=""),"-",VLOOKUP(C270,'FERDİ SONUÇ'!$B$6:$H$819,7,0))</f>
        <v>-</v>
      </c>
      <c r="I270" s="38" t="str">
        <f>IF(ISERROR(SMALL(H266:H270,5)),"-",SMALL(H266:H270,5))</f>
        <v>-</v>
      </c>
      <c r="J270" s="32"/>
      <c r="AZ270" s="30">
        <v>1316</v>
      </c>
    </row>
    <row r="271" spans="1:52" ht="15" customHeight="1">
      <c r="A271" s="21"/>
      <c r="B271" s="23"/>
      <c r="C271" s="46"/>
      <c r="D271" s="25">
        <f>IF(ISERROR(VLOOKUP($C271,'START LİSTE'!$B$6:$G$1006,2,0)),"",VLOOKUP($C271,'START LİSTE'!$B$6:$G$1006,2,0))</f>
      </c>
      <c r="E271" s="26">
        <f>IF(ISERROR(VLOOKUP($C271,'START LİSTE'!$B$6:$G$1006,4,0)),"",VLOOKUP($C271,'START LİSTE'!$B$6:$G$1006,4,0))</f>
      </c>
      <c r="F271" s="130">
        <f>IF(ISERROR(VLOOKUP($C271,'FERDİ SONUÇ'!$B$6:$H$819,6,0)),"",VLOOKUP($C271,'FERDİ SONUÇ'!$B$6:$H$819,6,0))</f>
      </c>
      <c r="G271" s="26" t="str">
        <f>IF(OR(E271="",F271="DQ",F271="DNF",F271="DNS",F271=""),"-",VLOOKUP(C271,'FERDİ SONUÇ'!$B$6:$H$819,7,0))</f>
        <v>-</v>
      </c>
      <c r="H271" s="26" t="str">
        <f>IF(OR(E271="",E271="F",F271="DQ",F271="DNF",F271="DNS",F271=""),"-",VLOOKUP(C271,'FERDİ SONUÇ'!$B$6:$H$819,7,0))</f>
        <v>-</v>
      </c>
      <c r="I271" s="28" t="str">
        <f>IF(ISERROR(SMALL(H271:H275,1)),"-",SMALL(H271:H275,1))</f>
        <v>-</v>
      </c>
      <c r="J271" s="22"/>
      <c r="AZ271" s="30">
        <v>1318</v>
      </c>
    </row>
    <row r="272" spans="1:52" ht="15" customHeight="1">
      <c r="A272" s="31"/>
      <c r="B272" s="33"/>
      <c r="C272" s="34"/>
      <c r="D272" s="35">
        <f>IF(ISERROR(VLOOKUP($C272,'START LİSTE'!$B$6:$G$1006,2,0)),"",VLOOKUP($C272,'START LİSTE'!$B$6:$G$1006,2,0))</f>
      </c>
      <c r="E272" s="36">
        <f>IF(ISERROR(VLOOKUP($C272,'START LİSTE'!$B$6:$G$1006,4,0)),"",VLOOKUP($C272,'START LİSTE'!$B$6:$G$1006,4,0))</f>
      </c>
      <c r="F272" s="131">
        <f>IF(ISERROR(VLOOKUP($C272,'FERDİ SONUÇ'!$B$6:$H$819,6,0)),"",VLOOKUP($C272,'FERDİ SONUÇ'!$B$6:$H$819,6,0))</f>
      </c>
      <c r="G272" s="36" t="str">
        <f>IF(OR(E272="",F272="DQ",F272="DNF",F272="DNS",F272=""),"-",VLOOKUP(C272,'FERDİ SONUÇ'!$B$6:$H$819,7,0))</f>
        <v>-</v>
      </c>
      <c r="H272" s="36" t="str">
        <f>IF(OR(E272="",E272="F",F272="DQ",F272="DNF",F272="DNS",F272=""),"-",VLOOKUP(C272,'FERDİ SONUÇ'!$B$6:$H$819,7,0))</f>
        <v>-</v>
      </c>
      <c r="I272" s="38" t="str">
        <f>IF(ISERROR(SMALL(H271:H275,2)),"-",SMALL(H271:H275,2))</f>
        <v>-</v>
      </c>
      <c r="J272" s="32"/>
      <c r="AZ272" s="30">
        <v>1319</v>
      </c>
    </row>
    <row r="273" spans="1:52" ht="15" customHeight="1">
      <c r="A273" s="44">
        <f>IF(AND(B273&lt;&gt;"",J273&lt;&gt;"DQ"),COUNT(J$6:J$305)-(RANK(J273,J$6:J$305)+COUNTIF(J$6:J273,J273))+2,IF(C271&lt;&gt;"",AZ273,""))</f>
      </c>
      <c r="B273" s="33">
        <f>IF(ISERROR(VLOOKUP(C271,'START LİSTE'!$B$6:$G$1006,3,0)),"",VLOOKUP(C271,'START LİSTE'!$B$6:$G$1006,3,0))</f>
      </c>
      <c r="C273" s="34"/>
      <c r="D273" s="35">
        <f>IF(ISERROR(VLOOKUP($C273,'START LİSTE'!$B$6:$G$1006,2,0)),"",VLOOKUP($C273,'START LİSTE'!$B$6:$G$1006,2,0))</f>
      </c>
      <c r="E273" s="36">
        <f>IF(ISERROR(VLOOKUP($C273,'START LİSTE'!$B$6:$G$1006,4,0)),"",VLOOKUP($C273,'START LİSTE'!$B$6:$G$1006,4,0))</f>
      </c>
      <c r="F273" s="131">
        <f>IF(ISERROR(VLOOKUP($C273,'FERDİ SONUÇ'!$B$6:$H$819,6,0)),"",VLOOKUP($C273,'FERDİ SONUÇ'!$B$6:$H$819,6,0))</f>
      </c>
      <c r="G273" s="36" t="str">
        <f>IF(OR(E273="",F273="DQ",F273="DNF",F273="DNS",F273=""),"-",VLOOKUP(C273,'FERDİ SONUÇ'!$B$6:$H$819,7,0))</f>
        <v>-</v>
      </c>
      <c r="H273" s="36" t="str">
        <f>IF(OR(E273="",E273="F",F273="DQ",F273="DNF",F273="DNS",F273=""),"-",VLOOKUP(C273,'FERDİ SONUÇ'!$B$6:$H$819,7,0))</f>
        <v>-</v>
      </c>
      <c r="I273" s="38" t="str">
        <f>IF(ISERROR(SMALL(H271:H275,3)),"-",SMALL(H271:H275,3))</f>
        <v>-</v>
      </c>
      <c r="J273" s="43">
        <f>IF(C271="","",IF(OR(I271="-",I272="-",I273="-",I274="-"),"DQ",SUM(I271,I272,I273,I274)))</f>
      </c>
      <c r="AZ273" s="30">
        <v>1320</v>
      </c>
    </row>
    <row r="274" spans="1:52" ht="15" customHeight="1">
      <c r="A274" s="31"/>
      <c r="B274" s="33"/>
      <c r="C274" s="34"/>
      <c r="D274" s="35">
        <f>IF(ISERROR(VLOOKUP($C274,'START LİSTE'!$B$6:$G$1006,2,0)),"",VLOOKUP($C274,'START LİSTE'!$B$6:$G$1006,2,0))</f>
      </c>
      <c r="E274" s="36">
        <f>IF(ISERROR(VLOOKUP($C274,'START LİSTE'!$B$6:$G$1006,4,0)),"",VLOOKUP($C274,'START LİSTE'!$B$6:$G$1006,4,0))</f>
      </c>
      <c r="F274" s="131">
        <f>IF(ISERROR(VLOOKUP($C274,'FERDİ SONUÇ'!$B$6:$H$819,6,0)),"",VLOOKUP($C274,'FERDİ SONUÇ'!$B$6:$H$819,6,0))</f>
      </c>
      <c r="G274" s="36" t="str">
        <f>IF(OR(E274="",F274="DQ",F274="DNF",F274="DNS",F274=""),"-",VLOOKUP(C274,'FERDİ SONUÇ'!$B$6:$H$819,7,0))</f>
        <v>-</v>
      </c>
      <c r="H274" s="36" t="str">
        <f>IF(OR(E274="",E274="F",F274="DQ",F274="DNF",F274="DNS",F274=""),"-",VLOOKUP(C274,'FERDİ SONUÇ'!$B$6:$H$819,7,0))</f>
        <v>-</v>
      </c>
      <c r="I274" s="38" t="str">
        <f>IF(ISERROR(SMALL(H271:H275,4)),"-",SMALL(H271:H275,4))</f>
        <v>-</v>
      </c>
      <c r="J274" s="32"/>
      <c r="AZ274" s="30">
        <v>1321</v>
      </c>
    </row>
    <row r="275" spans="1:52" ht="15" customHeight="1">
      <c r="A275" s="31"/>
      <c r="B275" s="33"/>
      <c r="C275" s="47"/>
      <c r="D275" s="35">
        <f>IF(ISERROR(VLOOKUP($C275,'START LİSTE'!$B$6:$G$1006,2,0)),"",VLOOKUP($C275,'START LİSTE'!$B$6:$G$1006,2,0))</f>
      </c>
      <c r="E275" s="36">
        <f>IF(ISERROR(VLOOKUP($C275,'START LİSTE'!$B$6:$G$1006,4,0)),"",VLOOKUP($C275,'START LİSTE'!$B$6:$G$1006,4,0))</f>
      </c>
      <c r="F275" s="131">
        <f>IF(ISERROR(VLOOKUP($C275,'FERDİ SONUÇ'!$B$6:$H$819,6,0)),"",VLOOKUP($C275,'FERDİ SONUÇ'!$B$6:$H$819,6,0))</f>
      </c>
      <c r="G275" s="36" t="str">
        <f>IF(OR(E275="",F275="DQ",F275="DNF",F275="DNS",F275=""),"-",VLOOKUP(C275,'FERDİ SONUÇ'!$B$6:$H$819,7,0))</f>
        <v>-</v>
      </c>
      <c r="H275" s="36" t="str">
        <f>IF(OR(E275="",E275="F",F275="DQ",F275="DNF",F275="DNS",F275=""),"-",VLOOKUP(C275,'FERDİ SONUÇ'!$B$6:$H$819,7,0))</f>
        <v>-</v>
      </c>
      <c r="I275" s="38" t="str">
        <f>IF(ISERROR(SMALL(H271:H275,5)),"-",SMALL(H271:H275,5))</f>
        <v>-</v>
      </c>
      <c r="J275" s="32"/>
      <c r="AZ275" s="30">
        <v>1322</v>
      </c>
    </row>
    <row r="276" spans="1:52" ht="15" customHeight="1">
      <c r="A276" s="21"/>
      <c r="B276" s="23"/>
      <c r="C276" s="46"/>
      <c r="D276" s="25">
        <f>IF(ISERROR(VLOOKUP($C276,'START LİSTE'!$B$6:$G$1006,2,0)),"",VLOOKUP($C276,'START LİSTE'!$B$6:$G$1006,2,0))</f>
      </c>
      <c r="E276" s="26">
        <f>IF(ISERROR(VLOOKUP($C276,'START LİSTE'!$B$6:$G$1006,4,0)),"",VLOOKUP($C276,'START LİSTE'!$B$6:$G$1006,4,0))</f>
      </c>
      <c r="F276" s="130">
        <f>IF(ISERROR(VLOOKUP($C276,'FERDİ SONUÇ'!$B$6:$H$819,6,0)),"",VLOOKUP($C276,'FERDİ SONUÇ'!$B$6:$H$819,6,0))</f>
      </c>
      <c r="G276" s="26" t="str">
        <f>IF(OR(E276="",F276="DQ",F276="DNF",F276="DNS",F276=""),"-",VLOOKUP(C276,'FERDİ SONUÇ'!$B$6:$H$819,7,0))</f>
        <v>-</v>
      </c>
      <c r="H276" s="26" t="str">
        <f>IF(OR(E276="",E276="F",F276="DQ",F276="DNF",F276="DNS",F276=""),"-",VLOOKUP(C276,'FERDİ SONUÇ'!$B$6:$H$819,7,0))</f>
        <v>-</v>
      </c>
      <c r="I276" s="28" t="str">
        <f>IF(ISERROR(SMALL(H276:H280,1)),"-",SMALL(H276:H280,1))</f>
        <v>-</v>
      </c>
      <c r="J276" s="22"/>
      <c r="AZ276" s="30">
        <v>1324</v>
      </c>
    </row>
    <row r="277" spans="1:52" ht="15" customHeight="1">
      <c r="A277" s="31"/>
      <c r="B277" s="33"/>
      <c r="C277" s="34"/>
      <c r="D277" s="35">
        <f>IF(ISERROR(VLOOKUP($C277,'START LİSTE'!$B$6:$G$1006,2,0)),"",VLOOKUP($C277,'START LİSTE'!$B$6:$G$1006,2,0))</f>
      </c>
      <c r="E277" s="36">
        <f>IF(ISERROR(VLOOKUP($C277,'START LİSTE'!$B$6:$G$1006,4,0)),"",VLOOKUP($C277,'START LİSTE'!$B$6:$G$1006,4,0))</f>
      </c>
      <c r="F277" s="131">
        <f>IF(ISERROR(VLOOKUP($C277,'FERDİ SONUÇ'!$B$6:$H$819,6,0)),"",VLOOKUP($C277,'FERDİ SONUÇ'!$B$6:$H$819,6,0))</f>
      </c>
      <c r="G277" s="36" t="str">
        <f>IF(OR(E277="",F277="DQ",F277="DNF",F277="DNS",F277=""),"-",VLOOKUP(C277,'FERDİ SONUÇ'!$B$6:$H$819,7,0))</f>
        <v>-</v>
      </c>
      <c r="H277" s="36" t="str">
        <f>IF(OR(E277="",E277="F",F277="DQ",F277="DNF",F277="DNS",F277=""),"-",VLOOKUP(C277,'FERDİ SONUÇ'!$B$6:$H$819,7,0))</f>
        <v>-</v>
      </c>
      <c r="I277" s="38" t="str">
        <f>IF(ISERROR(SMALL(H276:H280,2)),"-",SMALL(H276:H280,2))</f>
        <v>-</v>
      </c>
      <c r="J277" s="32"/>
      <c r="AZ277" s="30">
        <v>1325</v>
      </c>
    </row>
    <row r="278" spans="1:52" ht="15" customHeight="1">
      <c r="A278" s="44">
        <f>IF(AND(B278&lt;&gt;"",J278&lt;&gt;"DQ"),COUNT(J$6:J$305)-(RANK(J278,J$6:J$305)+COUNTIF(J$6:J278,J278))+2,IF(C276&lt;&gt;"",AZ278,""))</f>
      </c>
      <c r="B278" s="33">
        <f>IF(ISERROR(VLOOKUP(C276,'START LİSTE'!$B$6:$G$1006,3,0)),"",VLOOKUP(C276,'START LİSTE'!$B$6:$G$1006,3,0))</f>
      </c>
      <c r="C278" s="34"/>
      <c r="D278" s="35">
        <f>IF(ISERROR(VLOOKUP($C278,'START LİSTE'!$B$6:$G$1006,2,0)),"",VLOOKUP($C278,'START LİSTE'!$B$6:$G$1006,2,0))</f>
      </c>
      <c r="E278" s="36">
        <f>IF(ISERROR(VLOOKUP($C278,'START LİSTE'!$B$6:$G$1006,4,0)),"",VLOOKUP($C278,'START LİSTE'!$B$6:$G$1006,4,0))</f>
      </c>
      <c r="F278" s="131">
        <f>IF(ISERROR(VLOOKUP($C278,'FERDİ SONUÇ'!$B$6:$H$819,6,0)),"",VLOOKUP($C278,'FERDİ SONUÇ'!$B$6:$H$819,6,0))</f>
      </c>
      <c r="G278" s="36" t="str">
        <f>IF(OR(E278="",F278="DQ",F278="DNF",F278="DNS",F278=""),"-",VLOOKUP(C278,'FERDİ SONUÇ'!$B$6:$H$819,7,0))</f>
        <v>-</v>
      </c>
      <c r="H278" s="36" t="str">
        <f>IF(OR(E278="",E278="F",F278="DQ",F278="DNF",F278="DNS",F278=""),"-",VLOOKUP(C278,'FERDİ SONUÇ'!$B$6:$H$819,7,0))</f>
        <v>-</v>
      </c>
      <c r="I278" s="38" t="str">
        <f>IF(ISERROR(SMALL(H276:H280,3)),"-",SMALL(H276:H280,3))</f>
        <v>-</v>
      </c>
      <c r="J278" s="43">
        <f>IF(C276="","",IF(OR(I276="-",I277="-",I278="-",I279="-"),"DQ",SUM(I276,I277,I278,I279)))</f>
      </c>
      <c r="AZ278" s="30">
        <v>1326</v>
      </c>
    </row>
    <row r="279" spans="1:52" ht="15" customHeight="1">
      <c r="A279" s="31"/>
      <c r="B279" s="33"/>
      <c r="C279" s="34"/>
      <c r="D279" s="35">
        <f>IF(ISERROR(VLOOKUP($C279,'START LİSTE'!$B$6:$G$1006,2,0)),"",VLOOKUP($C279,'START LİSTE'!$B$6:$G$1006,2,0))</f>
      </c>
      <c r="E279" s="36">
        <f>IF(ISERROR(VLOOKUP($C279,'START LİSTE'!$B$6:$G$1006,4,0)),"",VLOOKUP($C279,'START LİSTE'!$B$6:$G$1006,4,0))</f>
      </c>
      <c r="F279" s="131">
        <f>IF(ISERROR(VLOOKUP($C279,'FERDİ SONUÇ'!$B$6:$H$819,6,0)),"",VLOOKUP($C279,'FERDİ SONUÇ'!$B$6:$H$819,6,0))</f>
      </c>
      <c r="G279" s="36" t="str">
        <f>IF(OR(E279="",F279="DQ",F279="DNF",F279="DNS",F279=""),"-",VLOOKUP(C279,'FERDİ SONUÇ'!$B$6:$H$819,7,0))</f>
        <v>-</v>
      </c>
      <c r="H279" s="36" t="str">
        <f>IF(OR(E279="",E279="F",F279="DQ",F279="DNF",F279="DNS",F279=""),"-",VLOOKUP(C279,'FERDİ SONUÇ'!$B$6:$H$819,7,0))</f>
        <v>-</v>
      </c>
      <c r="I279" s="38" t="str">
        <f>IF(ISERROR(SMALL(H276:H280,4)),"-",SMALL(H276:H280,4))</f>
        <v>-</v>
      </c>
      <c r="J279" s="32"/>
      <c r="AZ279" s="30">
        <v>1327</v>
      </c>
    </row>
    <row r="280" spans="1:52" ht="15" customHeight="1">
      <c r="A280" s="31"/>
      <c r="B280" s="33"/>
      <c r="C280" s="47"/>
      <c r="D280" s="35">
        <f>IF(ISERROR(VLOOKUP($C280,'START LİSTE'!$B$6:$G$1006,2,0)),"",VLOOKUP($C280,'START LİSTE'!$B$6:$G$1006,2,0))</f>
      </c>
      <c r="E280" s="36">
        <f>IF(ISERROR(VLOOKUP($C280,'START LİSTE'!$B$6:$G$1006,4,0)),"",VLOOKUP($C280,'START LİSTE'!$B$6:$G$1006,4,0))</f>
      </c>
      <c r="F280" s="131">
        <f>IF(ISERROR(VLOOKUP($C280,'FERDİ SONUÇ'!$B$6:$H$819,6,0)),"",VLOOKUP($C280,'FERDİ SONUÇ'!$B$6:$H$819,6,0))</f>
      </c>
      <c r="G280" s="36" t="str">
        <f>IF(OR(E280="",F280="DQ",F280="DNF",F280="DNS",F280=""),"-",VLOOKUP(C280,'FERDİ SONUÇ'!$B$6:$H$819,7,0))</f>
        <v>-</v>
      </c>
      <c r="H280" s="36" t="str">
        <f>IF(OR(E280="",E280="F",F280="DQ",F280="DNF",F280="DNS",F280=""),"-",VLOOKUP(C280,'FERDİ SONUÇ'!$B$6:$H$819,7,0))</f>
        <v>-</v>
      </c>
      <c r="I280" s="38" t="str">
        <f>IF(ISERROR(SMALL(H276:H280,5)),"-",SMALL(H276:H280,5))</f>
        <v>-</v>
      </c>
      <c r="J280" s="32"/>
      <c r="AZ280" s="30">
        <v>1328</v>
      </c>
    </row>
    <row r="281" spans="1:52" ht="15" customHeight="1">
      <c r="A281" s="21"/>
      <c r="B281" s="23"/>
      <c r="C281" s="46"/>
      <c r="D281" s="25">
        <f>IF(ISERROR(VLOOKUP($C281,'START LİSTE'!$B$6:$G$1006,2,0)),"",VLOOKUP($C281,'START LİSTE'!$B$6:$G$1006,2,0))</f>
      </c>
      <c r="E281" s="26">
        <f>IF(ISERROR(VLOOKUP($C281,'START LİSTE'!$B$6:$G$1006,4,0)),"",VLOOKUP($C281,'START LİSTE'!$B$6:$G$1006,4,0))</f>
      </c>
      <c r="F281" s="130">
        <f>IF(ISERROR(VLOOKUP($C281,'FERDİ SONUÇ'!$B$6:$H$819,6,0)),"",VLOOKUP($C281,'FERDİ SONUÇ'!$B$6:$H$819,6,0))</f>
      </c>
      <c r="G281" s="26" t="str">
        <f>IF(OR(E281="",F281="DQ",F281="DNF",F281="DNS",F281=""),"-",VLOOKUP(C281,'FERDİ SONUÇ'!$B$6:$H$819,7,0))</f>
        <v>-</v>
      </c>
      <c r="H281" s="26" t="str">
        <f>IF(OR(E281="",E281="F",F281="DQ",F281="DNF",F281="DNS",F281=""),"-",VLOOKUP(C281,'FERDİ SONUÇ'!$B$6:$H$819,7,0))</f>
        <v>-</v>
      </c>
      <c r="I281" s="28" t="str">
        <f>IF(ISERROR(SMALL(H281:H285,1)),"-",SMALL(H281:H285,1))</f>
        <v>-</v>
      </c>
      <c r="J281" s="22"/>
      <c r="AZ281" s="30">
        <v>1330</v>
      </c>
    </row>
    <row r="282" spans="1:52" ht="15" customHeight="1">
      <c r="A282" s="31"/>
      <c r="B282" s="33"/>
      <c r="C282" s="34"/>
      <c r="D282" s="35">
        <f>IF(ISERROR(VLOOKUP($C282,'START LİSTE'!$B$6:$G$1006,2,0)),"",VLOOKUP($C282,'START LİSTE'!$B$6:$G$1006,2,0))</f>
      </c>
      <c r="E282" s="36">
        <f>IF(ISERROR(VLOOKUP($C282,'START LİSTE'!$B$6:$G$1006,4,0)),"",VLOOKUP($C282,'START LİSTE'!$B$6:$G$1006,4,0))</f>
      </c>
      <c r="F282" s="131">
        <f>IF(ISERROR(VLOOKUP($C282,'FERDİ SONUÇ'!$B$6:$H$819,6,0)),"",VLOOKUP($C282,'FERDİ SONUÇ'!$B$6:$H$819,6,0))</f>
      </c>
      <c r="G282" s="36" t="str">
        <f>IF(OR(E282="",F282="DQ",F282="DNF",F282="DNS",F282=""),"-",VLOOKUP(C282,'FERDİ SONUÇ'!$B$6:$H$819,7,0))</f>
        <v>-</v>
      </c>
      <c r="H282" s="36" t="str">
        <f>IF(OR(E282="",E282="F",F282="DQ",F282="DNF",F282="DNS",F282=""),"-",VLOOKUP(C282,'FERDİ SONUÇ'!$B$6:$H$819,7,0))</f>
        <v>-</v>
      </c>
      <c r="I282" s="38" t="str">
        <f>IF(ISERROR(SMALL(H281:H285,2)),"-",SMALL(H281:H285,2))</f>
        <v>-</v>
      </c>
      <c r="J282" s="32"/>
      <c r="AZ282" s="30">
        <v>1331</v>
      </c>
    </row>
    <row r="283" spans="1:52" ht="15" customHeight="1">
      <c r="A283" s="44">
        <f>IF(AND(B283&lt;&gt;"",J283&lt;&gt;"DQ"),COUNT(J$6:J$305)-(RANK(J283,J$6:J$305)+COUNTIF(J$6:J283,J283))+2,IF(C281&lt;&gt;"",AZ283,""))</f>
      </c>
      <c r="B283" s="33">
        <f>IF(ISERROR(VLOOKUP(C281,'START LİSTE'!$B$6:$G$1006,3,0)),"",VLOOKUP(C281,'START LİSTE'!$B$6:$G$1006,3,0))</f>
      </c>
      <c r="C283" s="34"/>
      <c r="D283" s="35">
        <f>IF(ISERROR(VLOOKUP($C283,'START LİSTE'!$B$6:$G$1006,2,0)),"",VLOOKUP($C283,'START LİSTE'!$B$6:$G$1006,2,0))</f>
      </c>
      <c r="E283" s="36">
        <f>IF(ISERROR(VLOOKUP($C283,'START LİSTE'!$B$6:$G$1006,4,0)),"",VLOOKUP($C283,'START LİSTE'!$B$6:$G$1006,4,0))</f>
      </c>
      <c r="F283" s="131">
        <f>IF(ISERROR(VLOOKUP($C283,'FERDİ SONUÇ'!$B$6:$H$819,6,0)),"",VLOOKUP($C283,'FERDİ SONUÇ'!$B$6:$H$819,6,0))</f>
      </c>
      <c r="G283" s="36" t="str">
        <f>IF(OR(E283="",F283="DQ",F283="DNF",F283="DNS",F283=""),"-",VLOOKUP(C283,'FERDİ SONUÇ'!$B$6:$H$819,7,0))</f>
        <v>-</v>
      </c>
      <c r="H283" s="36" t="str">
        <f>IF(OR(E283="",E283="F",F283="DQ",F283="DNF",F283="DNS",F283=""),"-",VLOOKUP(C283,'FERDİ SONUÇ'!$B$6:$H$819,7,0))</f>
        <v>-</v>
      </c>
      <c r="I283" s="38" t="str">
        <f>IF(ISERROR(SMALL(H281:H285,3)),"-",SMALL(H281:H285,3))</f>
        <v>-</v>
      </c>
      <c r="J283" s="43">
        <f>IF(C281="","",IF(OR(I281="-",I282="-",I283="-",I284="-"),"DQ",SUM(I281,I282,I283,I284)))</f>
      </c>
      <c r="AZ283" s="30">
        <v>1332</v>
      </c>
    </row>
    <row r="284" spans="1:52" ht="15" customHeight="1">
      <c r="A284" s="31"/>
      <c r="B284" s="33"/>
      <c r="C284" s="34"/>
      <c r="D284" s="35">
        <f>IF(ISERROR(VLOOKUP($C284,'START LİSTE'!$B$6:$G$1006,2,0)),"",VLOOKUP($C284,'START LİSTE'!$B$6:$G$1006,2,0))</f>
      </c>
      <c r="E284" s="36">
        <f>IF(ISERROR(VLOOKUP($C284,'START LİSTE'!$B$6:$G$1006,4,0)),"",VLOOKUP($C284,'START LİSTE'!$B$6:$G$1006,4,0))</f>
      </c>
      <c r="F284" s="131">
        <f>IF(ISERROR(VLOOKUP($C284,'FERDİ SONUÇ'!$B$6:$H$819,6,0)),"",VLOOKUP($C284,'FERDİ SONUÇ'!$B$6:$H$819,6,0))</f>
      </c>
      <c r="G284" s="36" t="str">
        <f>IF(OR(E284="",F284="DQ",F284="DNF",F284="DNS",F284=""),"-",VLOOKUP(C284,'FERDİ SONUÇ'!$B$6:$H$819,7,0))</f>
        <v>-</v>
      </c>
      <c r="H284" s="36" t="str">
        <f>IF(OR(E284="",E284="F",F284="DQ",F284="DNF",F284="DNS",F284=""),"-",VLOOKUP(C284,'FERDİ SONUÇ'!$B$6:$H$819,7,0))</f>
        <v>-</v>
      </c>
      <c r="I284" s="38" t="str">
        <f>IF(ISERROR(SMALL(H281:H285,4)),"-",SMALL(H281:H285,4))</f>
        <v>-</v>
      </c>
      <c r="J284" s="32"/>
      <c r="AZ284" s="30">
        <v>1333</v>
      </c>
    </row>
    <row r="285" spans="1:52" ht="15" customHeight="1">
      <c r="A285" s="31"/>
      <c r="B285" s="33"/>
      <c r="C285" s="47"/>
      <c r="D285" s="35">
        <f>IF(ISERROR(VLOOKUP($C285,'START LİSTE'!$B$6:$G$1006,2,0)),"",VLOOKUP($C285,'START LİSTE'!$B$6:$G$1006,2,0))</f>
      </c>
      <c r="E285" s="36">
        <f>IF(ISERROR(VLOOKUP($C285,'START LİSTE'!$B$6:$G$1006,4,0)),"",VLOOKUP($C285,'START LİSTE'!$B$6:$G$1006,4,0))</f>
      </c>
      <c r="F285" s="131">
        <f>IF(ISERROR(VLOOKUP($C285,'FERDİ SONUÇ'!$B$6:$H$819,6,0)),"",VLOOKUP($C285,'FERDİ SONUÇ'!$B$6:$H$819,6,0))</f>
      </c>
      <c r="G285" s="36" t="str">
        <f>IF(OR(E285="",F285="DQ",F285="DNF",F285="DNS",F285=""),"-",VLOOKUP(C285,'FERDİ SONUÇ'!$B$6:$H$819,7,0))</f>
        <v>-</v>
      </c>
      <c r="H285" s="36" t="str">
        <f>IF(OR(E285="",E285="F",F285="DQ",F285="DNF",F285="DNS",F285=""),"-",VLOOKUP(C285,'FERDİ SONUÇ'!$B$6:$H$819,7,0))</f>
        <v>-</v>
      </c>
      <c r="I285" s="38" t="str">
        <f>IF(ISERROR(SMALL(H281:H285,5)),"-",SMALL(H281:H285,5))</f>
        <v>-</v>
      </c>
      <c r="J285" s="32"/>
      <c r="AZ285" s="30">
        <v>1334</v>
      </c>
    </row>
    <row r="286" spans="1:52" ht="15" customHeight="1">
      <c r="A286" s="21"/>
      <c r="B286" s="23"/>
      <c r="C286" s="46"/>
      <c r="D286" s="25">
        <f>IF(ISERROR(VLOOKUP($C286,'START LİSTE'!$B$6:$G$1006,2,0)),"",VLOOKUP($C286,'START LİSTE'!$B$6:$G$1006,2,0))</f>
      </c>
      <c r="E286" s="26">
        <f>IF(ISERROR(VLOOKUP($C286,'START LİSTE'!$B$6:$G$1006,4,0)),"",VLOOKUP($C286,'START LİSTE'!$B$6:$G$1006,4,0))</f>
      </c>
      <c r="F286" s="130">
        <f>IF(ISERROR(VLOOKUP($C286,'FERDİ SONUÇ'!$B$6:$H$819,6,0)),"",VLOOKUP($C286,'FERDİ SONUÇ'!$B$6:$H$819,6,0))</f>
      </c>
      <c r="G286" s="26" t="str">
        <f>IF(OR(E286="",F286="DQ",F286="DNF",F286="DNS",F286=""),"-",VLOOKUP(C286,'FERDİ SONUÇ'!$B$6:$H$819,7,0))</f>
        <v>-</v>
      </c>
      <c r="H286" s="26" t="str">
        <f>IF(OR(E286="",E286="F",F286="DQ",F286="DNF",F286="DNS",F286=""),"-",VLOOKUP(C286,'FERDİ SONUÇ'!$B$6:$H$819,7,0))</f>
        <v>-</v>
      </c>
      <c r="I286" s="28" t="str">
        <f>IF(ISERROR(SMALL(H286:H290,1)),"-",SMALL(H286:H290,1))</f>
        <v>-</v>
      </c>
      <c r="J286" s="22"/>
      <c r="AZ286" s="30">
        <v>1336</v>
      </c>
    </row>
    <row r="287" spans="1:52" ht="15" customHeight="1">
      <c r="A287" s="31"/>
      <c r="B287" s="33"/>
      <c r="C287" s="34"/>
      <c r="D287" s="35">
        <f>IF(ISERROR(VLOOKUP($C287,'START LİSTE'!$B$6:$G$1006,2,0)),"",VLOOKUP($C287,'START LİSTE'!$B$6:$G$1006,2,0))</f>
      </c>
      <c r="E287" s="36">
        <f>IF(ISERROR(VLOOKUP($C287,'START LİSTE'!$B$6:$G$1006,4,0)),"",VLOOKUP($C287,'START LİSTE'!$B$6:$G$1006,4,0))</f>
      </c>
      <c r="F287" s="131">
        <f>IF(ISERROR(VLOOKUP($C287,'FERDİ SONUÇ'!$B$6:$H$819,6,0)),"",VLOOKUP($C287,'FERDİ SONUÇ'!$B$6:$H$819,6,0))</f>
      </c>
      <c r="G287" s="36" t="str">
        <f>IF(OR(E287="",F287="DQ",F287="DNF",F287="DNS",F287=""),"-",VLOOKUP(C287,'FERDİ SONUÇ'!$B$6:$H$819,7,0))</f>
        <v>-</v>
      </c>
      <c r="H287" s="36" t="str">
        <f>IF(OR(E287="",E287="F",F287="DQ",F287="DNF",F287="DNS",F287=""),"-",VLOOKUP(C287,'FERDİ SONUÇ'!$B$6:$H$819,7,0))</f>
        <v>-</v>
      </c>
      <c r="I287" s="38" t="str">
        <f>IF(ISERROR(SMALL(H286:H290,2)),"-",SMALL(H286:H290,2))</f>
        <v>-</v>
      </c>
      <c r="J287" s="32"/>
      <c r="AZ287" s="30">
        <v>1337</v>
      </c>
    </row>
    <row r="288" spans="1:52" ht="15" customHeight="1">
      <c r="A288" s="44">
        <f>IF(AND(B288&lt;&gt;"",J288&lt;&gt;"DQ"),COUNT(J$6:J$305)-(RANK(J288,J$6:J$305)+COUNTIF(J$6:J288,J288))+2,IF(C286&lt;&gt;"",AZ288,""))</f>
      </c>
      <c r="B288" s="33">
        <f>IF(ISERROR(VLOOKUP(C286,'START LİSTE'!$B$6:$G$1006,3,0)),"",VLOOKUP(C286,'START LİSTE'!$B$6:$G$1006,3,0))</f>
      </c>
      <c r="C288" s="34"/>
      <c r="D288" s="35">
        <f>IF(ISERROR(VLOOKUP($C288,'START LİSTE'!$B$6:$G$1006,2,0)),"",VLOOKUP($C288,'START LİSTE'!$B$6:$G$1006,2,0))</f>
      </c>
      <c r="E288" s="36">
        <f>IF(ISERROR(VLOOKUP($C288,'START LİSTE'!$B$6:$G$1006,4,0)),"",VLOOKUP($C288,'START LİSTE'!$B$6:$G$1006,4,0))</f>
      </c>
      <c r="F288" s="131">
        <f>IF(ISERROR(VLOOKUP($C288,'FERDİ SONUÇ'!$B$6:$H$819,6,0)),"",VLOOKUP($C288,'FERDİ SONUÇ'!$B$6:$H$819,6,0))</f>
      </c>
      <c r="G288" s="36" t="str">
        <f>IF(OR(E288="",F288="DQ",F288="DNF",F288="DNS",F288=""),"-",VLOOKUP(C288,'FERDİ SONUÇ'!$B$6:$H$819,7,0))</f>
        <v>-</v>
      </c>
      <c r="H288" s="36" t="str">
        <f>IF(OR(E288="",E288="F",F288="DQ",F288="DNF",F288="DNS",F288=""),"-",VLOOKUP(C288,'FERDİ SONUÇ'!$B$6:$H$819,7,0))</f>
        <v>-</v>
      </c>
      <c r="I288" s="38" t="str">
        <f>IF(ISERROR(SMALL(H286:H290,3)),"-",SMALL(H286:H290,3))</f>
        <v>-</v>
      </c>
      <c r="J288" s="43">
        <f>IF(C286="","",IF(OR(I286="-",I287="-",I288="-",I289="-"),"DQ",SUM(I286,I287,I288,I289)))</f>
      </c>
      <c r="AZ288" s="30">
        <v>1338</v>
      </c>
    </row>
    <row r="289" spans="1:52" ht="15" customHeight="1">
      <c r="A289" s="31"/>
      <c r="B289" s="33"/>
      <c r="C289" s="34"/>
      <c r="D289" s="35">
        <f>IF(ISERROR(VLOOKUP($C289,'START LİSTE'!$B$6:$G$1006,2,0)),"",VLOOKUP($C289,'START LİSTE'!$B$6:$G$1006,2,0))</f>
      </c>
      <c r="E289" s="36">
        <f>IF(ISERROR(VLOOKUP($C289,'START LİSTE'!$B$6:$G$1006,4,0)),"",VLOOKUP($C289,'START LİSTE'!$B$6:$G$1006,4,0))</f>
      </c>
      <c r="F289" s="131">
        <f>IF(ISERROR(VLOOKUP($C289,'FERDİ SONUÇ'!$B$6:$H$819,6,0)),"",VLOOKUP($C289,'FERDİ SONUÇ'!$B$6:$H$819,6,0))</f>
      </c>
      <c r="G289" s="36" t="str">
        <f>IF(OR(E289="",F289="DQ",F289="DNF",F289="DNS",F289=""),"-",VLOOKUP(C289,'FERDİ SONUÇ'!$B$6:$H$819,7,0))</f>
        <v>-</v>
      </c>
      <c r="H289" s="36" t="str">
        <f>IF(OR(E289="",E289="F",F289="DQ",F289="DNF",F289="DNS",F289=""),"-",VLOOKUP(C289,'FERDİ SONUÇ'!$B$6:$H$819,7,0))</f>
        <v>-</v>
      </c>
      <c r="I289" s="38" t="str">
        <f>IF(ISERROR(SMALL(H286:H290,4)),"-",SMALL(H286:H290,4))</f>
        <v>-</v>
      </c>
      <c r="J289" s="32"/>
      <c r="AZ289" s="30">
        <v>1339</v>
      </c>
    </row>
    <row r="290" spans="1:52" ht="15" customHeight="1">
      <c r="A290" s="31"/>
      <c r="B290" s="33"/>
      <c r="C290" s="47"/>
      <c r="D290" s="35">
        <f>IF(ISERROR(VLOOKUP($C290,'START LİSTE'!$B$6:$G$1006,2,0)),"",VLOOKUP($C290,'START LİSTE'!$B$6:$G$1006,2,0))</f>
      </c>
      <c r="E290" s="36">
        <f>IF(ISERROR(VLOOKUP($C290,'START LİSTE'!$B$6:$G$1006,4,0)),"",VLOOKUP($C290,'START LİSTE'!$B$6:$G$1006,4,0))</f>
      </c>
      <c r="F290" s="131">
        <f>IF(ISERROR(VLOOKUP($C290,'FERDİ SONUÇ'!$B$6:$H$819,6,0)),"",VLOOKUP($C290,'FERDİ SONUÇ'!$B$6:$H$819,6,0))</f>
      </c>
      <c r="G290" s="36" t="str">
        <f>IF(OR(E290="",F290="DQ",F290="DNF",F290="DNS",F290=""),"-",VLOOKUP(C290,'FERDİ SONUÇ'!$B$6:$H$819,7,0))</f>
        <v>-</v>
      </c>
      <c r="H290" s="36" t="str">
        <f>IF(OR(E290="",E290="F",F290="DQ",F290="DNF",F290="DNS",F290=""),"-",VLOOKUP(C290,'FERDİ SONUÇ'!$B$6:$H$819,7,0))</f>
        <v>-</v>
      </c>
      <c r="I290" s="38" t="str">
        <f>IF(ISERROR(SMALL(H286:H290,5)),"-",SMALL(H286:H290,5))</f>
        <v>-</v>
      </c>
      <c r="J290" s="32"/>
      <c r="AZ290" s="30">
        <v>1340</v>
      </c>
    </row>
    <row r="291" spans="1:52" ht="15" customHeight="1">
      <c r="A291" s="21"/>
      <c r="B291" s="23"/>
      <c r="C291" s="46"/>
      <c r="D291" s="25">
        <f>IF(ISERROR(VLOOKUP($C291,'START LİSTE'!$B$6:$G$1006,2,0)),"",VLOOKUP($C291,'START LİSTE'!$B$6:$G$1006,2,0))</f>
      </c>
      <c r="E291" s="26">
        <f>IF(ISERROR(VLOOKUP($C291,'START LİSTE'!$B$6:$G$1006,4,0)),"",VLOOKUP($C291,'START LİSTE'!$B$6:$G$1006,4,0))</f>
      </c>
      <c r="F291" s="130">
        <f>IF(ISERROR(VLOOKUP($C291,'FERDİ SONUÇ'!$B$6:$H$819,6,0)),"",VLOOKUP($C291,'FERDİ SONUÇ'!$B$6:$H$819,6,0))</f>
      </c>
      <c r="G291" s="26" t="str">
        <f>IF(OR(E291="",F291="DQ",F291="DNF",F291="DNS",F291=""),"-",VLOOKUP(C291,'FERDİ SONUÇ'!$B$6:$H$819,7,0))</f>
        <v>-</v>
      </c>
      <c r="H291" s="26" t="str">
        <f>IF(OR(E291="",E291="F",F291="DQ",F291="DNF",F291="DNS",F291=""),"-",VLOOKUP(C291,'FERDİ SONUÇ'!$B$6:$H$819,7,0))</f>
        <v>-</v>
      </c>
      <c r="I291" s="28" t="str">
        <f>IF(ISERROR(SMALL(H291:H295,1)),"-",SMALL(H291:H295,1))</f>
        <v>-</v>
      </c>
      <c r="J291" s="22"/>
      <c r="AZ291" s="30">
        <v>1342</v>
      </c>
    </row>
    <row r="292" spans="1:52" ht="15" customHeight="1">
      <c r="A292" s="31"/>
      <c r="B292" s="33"/>
      <c r="C292" s="34"/>
      <c r="D292" s="35">
        <f>IF(ISERROR(VLOOKUP($C292,'START LİSTE'!$B$6:$G$1006,2,0)),"",VLOOKUP($C292,'START LİSTE'!$B$6:$G$1006,2,0))</f>
      </c>
      <c r="E292" s="36">
        <f>IF(ISERROR(VLOOKUP($C292,'START LİSTE'!$B$6:$G$1006,4,0)),"",VLOOKUP($C292,'START LİSTE'!$B$6:$G$1006,4,0))</f>
      </c>
      <c r="F292" s="131">
        <f>IF(ISERROR(VLOOKUP($C292,'FERDİ SONUÇ'!$B$6:$H$819,6,0)),"",VLOOKUP($C292,'FERDİ SONUÇ'!$B$6:$H$819,6,0))</f>
      </c>
      <c r="G292" s="36" t="str">
        <f>IF(OR(E292="",F292="DQ",F292="DNF",F292="DNS",F292=""),"-",VLOOKUP(C292,'FERDİ SONUÇ'!$B$6:$H$819,7,0))</f>
        <v>-</v>
      </c>
      <c r="H292" s="36" t="str">
        <f>IF(OR(E292="",E292="F",F292="DQ",F292="DNF",F292="DNS",F292=""),"-",VLOOKUP(C292,'FERDİ SONUÇ'!$B$6:$H$819,7,0))</f>
        <v>-</v>
      </c>
      <c r="I292" s="38" t="str">
        <f>IF(ISERROR(SMALL(H291:H295,2)),"-",SMALL(H291:H295,2))</f>
        <v>-</v>
      </c>
      <c r="J292" s="32"/>
      <c r="AZ292" s="30">
        <v>1343</v>
      </c>
    </row>
    <row r="293" spans="1:52" ht="15" customHeight="1">
      <c r="A293" s="44">
        <f>IF(AND(B293&lt;&gt;"",J293&lt;&gt;"DQ"),COUNT(J$6:J$305)-(RANK(J293,J$6:J$305)+COUNTIF(J$6:J293,J293))+2,IF(C291&lt;&gt;"",AZ293,""))</f>
      </c>
      <c r="B293" s="33">
        <f>IF(ISERROR(VLOOKUP(C291,'START LİSTE'!$B$6:$G$1006,3,0)),"",VLOOKUP(C291,'START LİSTE'!$B$6:$G$1006,3,0))</f>
      </c>
      <c r="C293" s="34"/>
      <c r="D293" s="35">
        <f>IF(ISERROR(VLOOKUP($C293,'START LİSTE'!$B$6:$G$1006,2,0)),"",VLOOKUP($C293,'START LİSTE'!$B$6:$G$1006,2,0))</f>
      </c>
      <c r="E293" s="36">
        <f>IF(ISERROR(VLOOKUP($C293,'START LİSTE'!$B$6:$G$1006,4,0)),"",VLOOKUP($C293,'START LİSTE'!$B$6:$G$1006,4,0))</f>
      </c>
      <c r="F293" s="131">
        <f>IF(ISERROR(VLOOKUP($C293,'FERDİ SONUÇ'!$B$6:$H$819,6,0)),"",VLOOKUP($C293,'FERDİ SONUÇ'!$B$6:$H$819,6,0))</f>
      </c>
      <c r="G293" s="36" t="str">
        <f>IF(OR(E293="",F293="DQ",F293="DNF",F293="DNS",F293=""),"-",VLOOKUP(C293,'FERDİ SONUÇ'!$B$6:$H$819,7,0))</f>
        <v>-</v>
      </c>
      <c r="H293" s="36" t="str">
        <f>IF(OR(E293="",E293="F",F293="DQ",F293="DNF",F293="DNS",F293=""),"-",VLOOKUP(C293,'FERDİ SONUÇ'!$B$6:$H$819,7,0))</f>
        <v>-</v>
      </c>
      <c r="I293" s="38" t="str">
        <f>IF(ISERROR(SMALL(H291:H295,3)),"-",SMALL(H291:H295,3))</f>
        <v>-</v>
      </c>
      <c r="J293" s="43">
        <f>IF(C291="","",IF(OR(I291="-",I292="-",I293="-",I294="-"),"DQ",SUM(I291,I292,I293,I294)))</f>
      </c>
      <c r="AZ293" s="30">
        <v>1344</v>
      </c>
    </row>
    <row r="294" spans="1:52" ht="15" customHeight="1">
      <c r="A294" s="31"/>
      <c r="B294" s="33"/>
      <c r="C294" s="34"/>
      <c r="D294" s="35">
        <f>IF(ISERROR(VLOOKUP($C294,'START LİSTE'!$B$6:$G$1006,2,0)),"",VLOOKUP($C294,'START LİSTE'!$B$6:$G$1006,2,0))</f>
      </c>
      <c r="E294" s="36">
        <f>IF(ISERROR(VLOOKUP($C294,'START LİSTE'!$B$6:$G$1006,4,0)),"",VLOOKUP($C294,'START LİSTE'!$B$6:$G$1006,4,0))</f>
      </c>
      <c r="F294" s="131">
        <f>IF(ISERROR(VLOOKUP($C294,'FERDİ SONUÇ'!$B$6:$H$819,6,0)),"",VLOOKUP($C294,'FERDİ SONUÇ'!$B$6:$H$819,6,0))</f>
      </c>
      <c r="G294" s="36" t="str">
        <f>IF(OR(E294="",F294="DQ",F294="DNF",F294="DNS",F294=""),"-",VLOOKUP(C294,'FERDİ SONUÇ'!$B$6:$H$819,7,0))</f>
        <v>-</v>
      </c>
      <c r="H294" s="36" t="str">
        <f>IF(OR(E294="",E294="F",F294="DQ",F294="DNF",F294="DNS",F294=""),"-",VLOOKUP(C294,'FERDİ SONUÇ'!$B$6:$H$819,7,0))</f>
        <v>-</v>
      </c>
      <c r="I294" s="38" t="str">
        <f>IF(ISERROR(SMALL(H291:H295,4)),"-",SMALL(H291:H295,4))</f>
        <v>-</v>
      </c>
      <c r="J294" s="32"/>
      <c r="AZ294" s="30">
        <v>1345</v>
      </c>
    </row>
    <row r="295" spans="1:52" ht="15" customHeight="1">
      <c r="A295" s="31"/>
      <c r="B295" s="33"/>
      <c r="C295" s="47"/>
      <c r="D295" s="35">
        <f>IF(ISERROR(VLOOKUP($C295,'START LİSTE'!$B$6:$G$1006,2,0)),"",VLOOKUP($C295,'START LİSTE'!$B$6:$G$1006,2,0))</f>
      </c>
      <c r="E295" s="36">
        <f>IF(ISERROR(VLOOKUP($C295,'START LİSTE'!$B$6:$G$1006,4,0)),"",VLOOKUP($C295,'START LİSTE'!$B$6:$G$1006,4,0))</f>
      </c>
      <c r="F295" s="131">
        <f>IF(ISERROR(VLOOKUP($C295,'FERDİ SONUÇ'!$B$6:$H$819,6,0)),"",VLOOKUP($C295,'FERDİ SONUÇ'!$B$6:$H$819,6,0))</f>
      </c>
      <c r="G295" s="36" t="str">
        <f>IF(OR(E295="",F295="DQ",F295="DNF",F295="DNS",F295=""),"-",VLOOKUP(C295,'FERDİ SONUÇ'!$B$6:$H$819,7,0))</f>
        <v>-</v>
      </c>
      <c r="H295" s="36" t="str">
        <f>IF(OR(E295="",E295="F",F295="DQ",F295="DNF",F295="DNS",F295=""),"-",VLOOKUP(C295,'FERDİ SONUÇ'!$B$6:$H$819,7,0))</f>
        <v>-</v>
      </c>
      <c r="I295" s="38" t="str">
        <f>IF(ISERROR(SMALL(H291:H295,5)),"-",SMALL(H291:H295,5))</f>
        <v>-</v>
      </c>
      <c r="J295" s="32"/>
      <c r="AZ295" s="30">
        <v>1346</v>
      </c>
    </row>
    <row r="296" spans="1:52" ht="15" customHeight="1">
      <c r="A296" s="21"/>
      <c r="B296" s="23"/>
      <c r="C296" s="46"/>
      <c r="D296" s="25">
        <f>IF(ISERROR(VLOOKUP($C296,'START LİSTE'!$B$6:$G$1006,2,0)),"",VLOOKUP($C296,'START LİSTE'!$B$6:$G$1006,2,0))</f>
      </c>
      <c r="E296" s="26">
        <f>IF(ISERROR(VLOOKUP($C296,'START LİSTE'!$B$6:$G$1006,4,0)),"",VLOOKUP($C296,'START LİSTE'!$B$6:$G$1006,4,0))</f>
      </c>
      <c r="F296" s="130">
        <f>IF(ISERROR(VLOOKUP($C296,'FERDİ SONUÇ'!$B$6:$H$819,6,0)),"",VLOOKUP($C296,'FERDİ SONUÇ'!$B$6:$H$819,6,0))</f>
      </c>
      <c r="G296" s="26" t="str">
        <f>IF(OR(E296="",F296="DQ",F296="DNF",F296="DNS",F296=""),"-",VLOOKUP(C296,'FERDİ SONUÇ'!$B$6:$H$819,7,0))</f>
        <v>-</v>
      </c>
      <c r="H296" s="26" t="str">
        <f>IF(OR(E296="",E296="F",F296="DQ",F296="DNF",F296="DNS",F296=""),"-",VLOOKUP(C296,'FERDİ SONUÇ'!$B$6:$H$819,7,0))</f>
        <v>-</v>
      </c>
      <c r="I296" s="28" t="str">
        <f>IF(ISERROR(SMALL(H296:H300,1)),"-",SMALL(H296:H300,1))</f>
        <v>-</v>
      </c>
      <c r="J296" s="22"/>
      <c r="AZ296" s="30">
        <v>1348</v>
      </c>
    </row>
    <row r="297" spans="1:52" ht="15" customHeight="1">
      <c r="A297" s="31"/>
      <c r="B297" s="33"/>
      <c r="C297" s="34"/>
      <c r="D297" s="35">
        <f>IF(ISERROR(VLOOKUP($C297,'START LİSTE'!$B$6:$G$1006,2,0)),"",VLOOKUP($C297,'START LİSTE'!$B$6:$G$1006,2,0))</f>
      </c>
      <c r="E297" s="36">
        <f>IF(ISERROR(VLOOKUP($C297,'START LİSTE'!$B$6:$G$1006,4,0)),"",VLOOKUP($C297,'START LİSTE'!$B$6:$G$1006,4,0))</f>
      </c>
      <c r="F297" s="131">
        <f>IF(ISERROR(VLOOKUP($C297,'FERDİ SONUÇ'!$B$6:$H$819,6,0)),"",VLOOKUP($C297,'FERDİ SONUÇ'!$B$6:$H$819,6,0))</f>
      </c>
      <c r="G297" s="36" t="str">
        <f>IF(OR(E297="",F297="DQ",F297="DNF",F297="DNS",F297=""),"-",VLOOKUP(C297,'FERDİ SONUÇ'!$B$6:$H$819,7,0))</f>
        <v>-</v>
      </c>
      <c r="H297" s="36" t="str">
        <f>IF(OR(E297="",E297="F",F297="DQ",F297="DNF",F297="DNS",F297=""),"-",VLOOKUP(C297,'FERDİ SONUÇ'!$B$6:$H$819,7,0))</f>
        <v>-</v>
      </c>
      <c r="I297" s="38" t="str">
        <f>IF(ISERROR(SMALL(H296:H300,2)),"-",SMALL(H296:H300,2))</f>
        <v>-</v>
      </c>
      <c r="J297" s="32"/>
      <c r="AZ297" s="30">
        <v>1349</v>
      </c>
    </row>
    <row r="298" spans="1:52" ht="15" customHeight="1">
      <c r="A298" s="44">
        <f>IF(AND(B298&lt;&gt;"",J298&lt;&gt;"DQ"),COUNT(J$6:J$305)-(RANK(J298,J$6:J$305)+COUNTIF(J$6:J298,J298))+2,IF(C296&lt;&gt;"",AZ298,""))</f>
      </c>
      <c r="B298" s="33">
        <f>IF(ISERROR(VLOOKUP(C296,'START LİSTE'!$B$6:$G$1006,3,0)),"",VLOOKUP(C296,'START LİSTE'!$B$6:$G$1006,3,0))</f>
      </c>
      <c r="C298" s="34"/>
      <c r="D298" s="35">
        <f>IF(ISERROR(VLOOKUP($C298,'START LİSTE'!$B$6:$G$1006,2,0)),"",VLOOKUP($C298,'START LİSTE'!$B$6:$G$1006,2,0))</f>
      </c>
      <c r="E298" s="36">
        <f>IF(ISERROR(VLOOKUP($C298,'START LİSTE'!$B$6:$G$1006,4,0)),"",VLOOKUP($C298,'START LİSTE'!$B$6:$G$1006,4,0))</f>
      </c>
      <c r="F298" s="131">
        <f>IF(ISERROR(VLOOKUP($C298,'FERDİ SONUÇ'!$B$6:$H$819,6,0)),"",VLOOKUP($C298,'FERDİ SONUÇ'!$B$6:$H$819,6,0))</f>
      </c>
      <c r="G298" s="36" t="str">
        <f>IF(OR(E298="",F298="DQ",F298="DNF",F298="DNS",F298=""),"-",VLOOKUP(C298,'FERDİ SONUÇ'!$B$6:$H$819,7,0))</f>
        <v>-</v>
      </c>
      <c r="H298" s="36" t="str">
        <f>IF(OR(E298="",E298="F",F298="DQ",F298="DNF",F298="DNS",F298=""),"-",VLOOKUP(C298,'FERDİ SONUÇ'!$B$6:$H$819,7,0))</f>
        <v>-</v>
      </c>
      <c r="I298" s="38" t="str">
        <f>IF(ISERROR(SMALL(H296:H300,3)),"-",SMALL(H296:H300,3))</f>
        <v>-</v>
      </c>
      <c r="J298" s="43">
        <f>IF(C296="","",IF(OR(I296="-",I297="-",I298="-",I299="-"),"DQ",SUM(I296,I297,I298,I299)))</f>
      </c>
      <c r="AZ298" s="30">
        <v>1350</v>
      </c>
    </row>
    <row r="299" spans="1:52" ht="15" customHeight="1">
      <c r="A299" s="31"/>
      <c r="B299" s="33"/>
      <c r="C299" s="34"/>
      <c r="D299" s="35">
        <f>IF(ISERROR(VLOOKUP($C299,'START LİSTE'!$B$6:$G$1006,2,0)),"",VLOOKUP($C299,'START LİSTE'!$B$6:$G$1006,2,0))</f>
      </c>
      <c r="E299" s="36">
        <f>IF(ISERROR(VLOOKUP($C299,'START LİSTE'!$B$6:$G$1006,4,0)),"",VLOOKUP($C299,'START LİSTE'!$B$6:$G$1006,4,0))</f>
      </c>
      <c r="F299" s="131">
        <f>IF(ISERROR(VLOOKUP($C299,'FERDİ SONUÇ'!$B$6:$H$819,6,0)),"",VLOOKUP($C299,'FERDİ SONUÇ'!$B$6:$H$819,6,0))</f>
      </c>
      <c r="G299" s="36" t="str">
        <f>IF(OR(E299="",F299="DQ",F299="DNF",F299="DNS",F299=""),"-",VLOOKUP(C299,'FERDİ SONUÇ'!$B$6:$H$819,7,0))</f>
        <v>-</v>
      </c>
      <c r="H299" s="36" t="str">
        <f>IF(OR(E299="",E299="F",F299="DQ",F299="DNF",F299="DNS",F299=""),"-",VLOOKUP(C299,'FERDİ SONUÇ'!$B$6:$H$819,7,0))</f>
        <v>-</v>
      </c>
      <c r="I299" s="38" t="str">
        <f>IF(ISERROR(SMALL(H296:H300,4)),"-",SMALL(H296:H300,4))</f>
        <v>-</v>
      </c>
      <c r="J299" s="32"/>
      <c r="AZ299" s="30">
        <v>1351</v>
      </c>
    </row>
    <row r="300" spans="1:52" ht="15" customHeight="1">
      <c r="A300" s="31"/>
      <c r="B300" s="33"/>
      <c r="C300" s="47"/>
      <c r="D300" s="35">
        <f>IF(ISERROR(VLOOKUP($C300,'START LİSTE'!$B$6:$G$1006,2,0)),"",VLOOKUP($C300,'START LİSTE'!$B$6:$G$1006,2,0))</f>
      </c>
      <c r="E300" s="36">
        <f>IF(ISERROR(VLOOKUP($C300,'START LİSTE'!$B$6:$G$1006,4,0)),"",VLOOKUP($C300,'START LİSTE'!$B$6:$G$1006,4,0))</f>
      </c>
      <c r="F300" s="131">
        <f>IF(ISERROR(VLOOKUP($C300,'FERDİ SONUÇ'!$B$6:$H$819,6,0)),"",VLOOKUP($C300,'FERDİ SONUÇ'!$B$6:$H$819,6,0))</f>
      </c>
      <c r="G300" s="36" t="str">
        <f>IF(OR(E300="",F300="DQ",F300="DNF",F300="DNS",F300=""),"-",VLOOKUP(C300,'FERDİ SONUÇ'!$B$6:$H$819,7,0))</f>
        <v>-</v>
      </c>
      <c r="H300" s="36" t="str">
        <f>IF(OR(E300="",E300="F",F300="DQ",F300="DNF",F300="DNS",F300=""),"-",VLOOKUP(C300,'FERDİ SONUÇ'!$B$6:$H$819,7,0))</f>
        <v>-</v>
      </c>
      <c r="I300" s="38" t="str">
        <f>IF(ISERROR(SMALL(H296:H300,5)),"-",SMALL(H296:H300,5))</f>
        <v>-</v>
      </c>
      <c r="J300" s="32"/>
      <c r="AZ300" s="30">
        <v>1352</v>
      </c>
    </row>
    <row r="301" spans="1:52" ht="15" customHeight="1">
      <c r="A301" s="21"/>
      <c r="B301" s="23"/>
      <c r="C301" s="46"/>
      <c r="D301" s="25">
        <f>IF(ISERROR(VLOOKUP($C301,'START LİSTE'!$B$6:$G$1006,2,0)),"",VLOOKUP($C301,'START LİSTE'!$B$6:$G$1006,2,0))</f>
      </c>
      <c r="E301" s="26">
        <f>IF(ISERROR(VLOOKUP($C301,'START LİSTE'!$B$6:$G$1006,4,0)),"",VLOOKUP($C301,'START LİSTE'!$B$6:$G$1006,4,0))</f>
      </c>
      <c r="F301" s="130">
        <f>IF(ISERROR(VLOOKUP($C301,'FERDİ SONUÇ'!$B$6:$H$819,6,0)),"",VLOOKUP($C301,'FERDİ SONUÇ'!$B$6:$H$819,6,0))</f>
      </c>
      <c r="G301" s="26" t="str">
        <f>IF(OR(E301="",F301="DQ",F301="DNF",F301="DNS",F301=""),"-",VLOOKUP(C301,'FERDİ SONUÇ'!$B$6:$H$819,7,0))</f>
        <v>-</v>
      </c>
      <c r="H301" s="26" t="str">
        <f>IF(OR(E301="",E301="F",F301="DQ",F301="DNF",F301="DNS",F301=""),"-",VLOOKUP(C301,'FERDİ SONUÇ'!$B$6:$H$819,7,0))</f>
        <v>-</v>
      </c>
      <c r="I301" s="28" t="str">
        <f>IF(ISERROR(SMALL(H301:H305,1)),"-",SMALL(H301:H305,1))</f>
        <v>-</v>
      </c>
      <c r="J301" s="22"/>
      <c r="AZ301" s="30">
        <v>1354</v>
      </c>
    </row>
    <row r="302" spans="1:52" ht="15" customHeight="1">
      <c r="A302" s="31"/>
      <c r="B302" s="33"/>
      <c r="C302" s="34"/>
      <c r="D302" s="35">
        <f>IF(ISERROR(VLOOKUP($C302,'START LİSTE'!$B$6:$G$1006,2,0)),"",VLOOKUP($C302,'START LİSTE'!$B$6:$G$1006,2,0))</f>
      </c>
      <c r="E302" s="36">
        <f>IF(ISERROR(VLOOKUP($C302,'START LİSTE'!$B$6:$G$1006,4,0)),"",VLOOKUP($C302,'START LİSTE'!$B$6:$G$1006,4,0))</f>
      </c>
      <c r="F302" s="131">
        <f>IF(ISERROR(VLOOKUP($C302,'FERDİ SONUÇ'!$B$6:$H$819,6,0)),"",VLOOKUP($C302,'FERDİ SONUÇ'!$B$6:$H$819,6,0))</f>
      </c>
      <c r="G302" s="36" t="str">
        <f>IF(OR(E302="",F302="DQ",F302="DNF",F302="DNS",F302=""),"-",VLOOKUP(C302,'FERDİ SONUÇ'!$B$6:$H$819,7,0))</f>
        <v>-</v>
      </c>
      <c r="H302" s="36" t="str">
        <f>IF(OR(E302="",E302="F",F302="DQ",F302="DNF",F302="DNS",F302=""),"-",VLOOKUP(C302,'FERDİ SONUÇ'!$B$6:$H$819,7,0))</f>
        <v>-</v>
      </c>
      <c r="I302" s="38" t="str">
        <f>IF(ISERROR(SMALL(H301:H305,2)),"-",SMALL(H301:H305,2))</f>
        <v>-</v>
      </c>
      <c r="J302" s="32"/>
      <c r="AZ302" s="30">
        <v>1355</v>
      </c>
    </row>
    <row r="303" spans="1:52" ht="15" customHeight="1">
      <c r="A303" s="44">
        <f>IF(AND(B303&lt;&gt;"",J303&lt;&gt;"DQ"),COUNT(J$6:J$305)-(RANK(J303,J$6:J$305)+COUNTIF(J$6:J303,J303))+2,IF(C301&lt;&gt;"",AZ303,""))</f>
      </c>
      <c r="B303" s="33">
        <f>IF(ISERROR(VLOOKUP(C301,'START LİSTE'!$B$6:$G$1006,3,0)),"",VLOOKUP(C301,'START LİSTE'!$B$6:$G$1006,3,0))</f>
      </c>
      <c r="C303" s="34"/>
      <c r="D303" s="35">
        <f>IF(ISERROR(VLOOKUP($C303,'START LİSTE'!$B$6:$G$1006,2,0)),"",VLOOKUP($C303,'START LİSTE'!$B$6:$G$1006,2,0))</f>
      </c>
      <c r="E303" s="36">
        <f>IF(ISERROR(VLOOKUP($C303,'START LİSTE'!$B$6:$G$1006,4,0)),"",VLOOKUP($C303,'START LİSTE'!$B$6:$G$1006,4,0))</f>
      </c>
      <c r="F303" s="131">
        <f>IF(ISERROR(VLOOKUP($C303,'FERDİ SONUÇ'!$B$6:$H$819,6,0)),"",VLOOKUP($C303,'FERDİ SONUÇ'!$B$6:$H$819,6,0))</f>
      </c>
      <c r="G303" s="36" t="str">
        <f>IF(OR(E303="",F303="DQ",F303="DNF",F303="DNS",F303=""),"-",VLOOKUP(C303,'FERDİ SONUÇ'!$B$6:$H$819,7,0))</f>
        <v>-</v>
      </c>
      <c r="H303" s="36" t="str">
        <f>IF(OR(E303="",E303="F",F303="DQ",F303="DNF",F303="DNS",F303=""),"-",VLOOKUP(C303,'FERDİ SONUÇ'!$B$6:$H$819,7,0))</f>
        <v>-</v>
      </c>
      <c r="I303" s="38" t="str">
        <f>IF(ISERROR(SMALL(H301:H305,3)),"-",SMALL(H301:H305,3))</f>
        <v>-</v>
      </c>
      <c r="J303" s="43">
        <f>IF(C301="","",IF(OR(I301="-",I302="-",I303="-",I304="-"),"DQ",SUM(I301,I302,I303,I304)))</f>
      </c>
      <c r="AZ303" s="30">
        <v>1356</v>
      </c>
    </row>
    <row r="304" spans="1:52" ht="15" customHeight="1">
      <c r="A304" s="31"/>
      <c r="B304" s="33"/>
      <c r="C304" s="34"/>
      <c r="D304" s="35">
        <f>IF(ISERROR(VLOOKUP($C304,'START LİSTE'!$B$6:$G$1006,2,0)),"",VLOOKUP($C304,'START LİSTE'!$B$6:$G$1006,2,0))</f>
      </c>
      <c r="E304" s="36">
        <f>IF(ISERROR(VLOOKUP($C304,'START LİSTE'!$B$6:$G$1006,4,0)),"",VLOOKUP($C304,'START LİSTE'!$B$6:$G$1006,4,0))</f>
      </c>
      <c r="F304" s="131">
        <f>IF(ISERROR(VLOOKUP($C304,'FERDİ SONUÇ'!$B$6:$H$819,6,0)),"",VLOOKUP($C304,'FERDİ SONUÇ'!$B$6:$H$819,6,0))</f>
      </c>
      <c r="G304" s="36" t="str">
        <f>IF(OR(E304="",F304="DQ",F304="DNF",F304="DNS",F304=""),"-",VLOOKUP(C304,'FERDİ SONUÇ'!$B$6:$H$819,7,0))</f>
        <v>-</v>
      </c>
      <c r="H304" s="36" t="str">
        <f>IF(OR(E304="",E304="F",F304="DQ",F304="DNF",F304="DNS",F304=""),"-",VLOOKUP(C304,'FERDİ SONUÇ'!$B$6:$H$819,7,0))</f>
        <v>-</v>
      </c>
      <c r="I304" s="38" t="str">
        <f>IF(ISERROR(SMALL(H301:H305,4)),"-",SMALL(H301:H305,4))</f>
        <v>-</v>
      </c>
      <c r="J304" s="32"/>
      <c r="AZ304" s="30">
        <v>1357</v>
      </c>
    </row>
    <row r="305" spans="1:52" ht="15" customHeight="1">
      <c r="A305" s="31"/>
      <c r="B305" s="33"/>
      <c r="C305" s="47"/>
      <c r="D305" s="35">
        <f>IF(ISERROR(VLOOKUP($C305,'START LİSTE'!$B$6:$G$1006,2,0)),"",VLOOKUP($C305,'START LİSTE'!$B$6:$G$1006,2,0))</f>
      </c>
      <c r="E305" s="36">
        <f>IF(ISERROR(VLOOKUP($C305,'START LİSTE'!$B$6:$G$1006,4,0)),"",VLOOKUP($C305,'START LİSTE'!$B$6:$G$1006,4,0))</f>
      </c>
      <c r="F305" s="131">
        <f>IF(ISERROR(VLOOKUP($C305,'FERDİ SONUÇ'!$B$6:$H$819,6,0)),"",VLOOKUP($C305,'FERDİ SONUÇ'!$B$6:$H$819,6,0))</f>
      </c>
      <c r="G305" s="36" t="str">
        <f>IF(OR(E305="",F305="DQ",F305="DNF",F305="DNS",F305=""),"-",VLOOKUP(C305,'FERDİ SONUÇ'!$B$6:$H$819,7,0))</f>
        <v>-</v>
      </c>
      <c r="H305" s="36" t="str">
        <f>IF(OR(E305="",E305="F",F305="DQ",F305="DNF",F305="DNS",F305=""),"-",VLOOKUP(C305,'FERDİ SONUÇ'!$B$6:$H$819,7,0))</f>
        <v>-</v>
      </c>
      <c r="I305" s="38" t="str">
        <f>IF(ISERROR(SMALL(H301:H305,5)),"-",SMALL(H301:H305,5))</f>
        <v>-</v>
      </c>
      <c r="J305" s="32"/>
      <c r="AZ305" s="30">
        <v>1358</v>
      </c>
    </row>
    <row r="306" ht="12.75">
      <c r="AZ306" s="30"/>
    </row>
    <row r="307" ht="12.75">
      <c r="AZ307" s="30"/>
    </row>
    <row r="308" ht="12.75">
      <c r="AZ308" s="30"/>
    </row>
    <row r="309" ht="12.75">
      <c r="AZ309" s="30"/>
    </row>
    <row r="310" ht="12.75">
      <c r="AZ310" s="30"/>
    </row>
    <row r="311" ht="12.75">
      <c r="AZ311" s="30"/>
    </row>
    <row r="312" ht="12.75">
      <c r="AZ312" s="30"/>
    </row>
    <row r="313" ht="12.75">
      <c r="AZ313" s="30"/>
    </row>
    <row r="314" ht="12.75">
      <c r="AZ314" s="30"/>
    </row>
    <row r="315" ht="12.75">
      <c r="AZ315" s="30"/>
    </row>
    <row r="316" ht="12.75">
      <c r="AZ316" s="30"/>
    </row>
    <row r="317" ht="12.75">
      <c r="AZ317" s="30"/>
    </row>
  </sheetData>
  <sheetProtection password="EF9D" sheet="1"/>
  <mergeCells count="5">
    <mergeCell ref="F4:J4"/>
    <mergeCell ref="A1:J1"/>
    <mergeCell ref="A2:J2"/>
    <mergeCell ref="A3:J3"/>
    <mergeCell ref="C4:D4"/>
  </mergeCells>
  <conditionalFormatting sqref="B5">
    <cfRule type="duplicateValues" priority="13" dxfId="15" stopIfTrue="1">
      <formula>AND(COUNTIF($B$5:$B$5,B5)&gt;1,NOT(ISBLANK(B5)))</formula>
    </cfRule>
  </conditionalFormatting>
  <conditionalFormatting sqref="A6:A305">
    <cfRule type="cellIs" priority="3" dxfId="16" operator="greaterThan">
      <formula>1000</formula>
    </cfRule>
  </conditionalFormatting>
  <conditionalFormatting sqref="J6:J155">
    <cfRule type="duplicateValues" priority="130" dxfId="0" stopIfTrue="1">
      <formula>AND(COUNTIF($J$6:$J$155,J6)&gt;1,NOT(ISBLANK(J6)))</formula>
    </cfRule>
  </conditionalFormatting>
  <conditionalFormatting sqref="J156:J305">
    <cfRule type="duplicateValues" priority="1" dxfId="0" stopIfTrue="1">
      <formula>AND(COUNTIF($J$156:$J$305,J156)&gt;1,NOT(ISBLANK(J156)))</formula>
    </cfRule>
  </conditionalFormatting>
  <printOptions horizontalCentered="1"/>
  <pageMargins left="0.57" right="0.12" top="0.5511811023622047" bottom="0.5118110236220472" header="0.3937007874015748" footer="0.3937007874015748"/>
  <pageSetup horizontalDpi="300" verticalDpi="300" orientation="portrait" paperSize="9" scale="97" r:id="rId1"/>
  <headerFooter alignWithMargins="0">
    <oddFooter>&amp;C&amp;P</oddFooter>
  </headerFooter>
  <rowBreaks count="4" manualBreakCount="4">
    <brk id="40" max="9" man="1"/>
    <brk id="80" max="9" man="1"/>
    <brk id="120" max="9" man="1"/>
    <brk id="170" max="9" man="1"/>
  </rowBreaks>
</worksheet>
</file>

<file path=xl/worksheets/sheet5.xml><?xml version="1.0" encoding="utf-8"?>
<worksheet xmlns="http://schemas.openxmlformats.org/spreadsheetml/2006/main" xmlns:r="http://schemas.openxmlformats.org/officeDocument/2006/relationships">
  <sheetPr>
    <tabColor rgb="FFFF0000"/>
  </sheetPr>
  <dimension ref="A1:H305"/>
  <sheetViews>
    <sheetView view="pageBreakPreview" zoomScaleSheetLayoutView="100" zoomScalePageLayoutView="0" workbookViewId="0" topLeftCell="A1">
      <selection activeCell="K5" sqref="K5"/>
    </sheetView>
  </sheetViews>
  <sheetFormatPr defaultColWidth="9.00390625" defaultRowHeight="12.75"/>
  <cols>
    <col min="1" max="1" width="6.75390625" style="40" customWidth="1"/>
    <col min="2" max="2" width="30.75390625" style="39" customWidth="1"/>
    <col min="3" max="3" width="6.375" style="39" customWidth="1"/>
    <col min="4" max="4" width="26.625" style="39" customWidth="1"/>
    <col min="5" max="5" width="12.625" style="39" hidden="1" customWidth="1"/>
    <col min="6" max="6" width="8.25390625" style="126" customWidth="1"/>
    <col min="7" max="7" width="8.25390625" style="39" customWidth="1"/>
    <col min="8" max="8" width="7.25390625" style="40" customWidth="1"/>
    <col min="9" max="16384" width="9.125" style="39" customWidth="1"/>
  </cols>
  <sheetData>
    <row r="1" spans="1:8" s="29" customFormat="1" ht="30" customHeight="1">
      <c r="A1" s="178" t="str">
        <f>KAPAK!A2</f>
        <v>Türkiye Atletizm Federasyonu
Ankara Atletizm İl Temsilciliği</v>
      </c>
      <c r="B1" s="178"/>
      <c r="C1" s="178"/>
      <c r="D1" s="178"/>
      <c r="E1" s="178"/>
      <c r="F1" s="178"/>
      <c r="G1" s="178"/>
      <c r="H1" s="178"/>
    </row>
    <row r="2" spans="1:8" s="29" customFormat="1" ht="18">
      <c r="A2" s="183" t="str">
        <f>KAPAK!B25</f>
        <v>Atatürk'ü Anma Kros Yarışmaları</v>
      </c>
      <c r="B2" s="183"/>
      <c r="C2" s="183"/>
      <c r="D2" s="183"/>
      <c r="E2" s="183"/>
      <c r="F2" s="183"/>
      <c r="G2" s="183"/>
      <c r="H2" s="183"/>
    </row>
    <row r="3" spans="1:8" s="29" customFormat="1" ht="14.25">
      <c r="A3" s="180" t="str">
        <f>KAPAK!B28</f>
        <v>Ankara</v>
      </c>
      <c r="B3" s="180"/>
      <c r="C3" s="180"/>
      <c r="D3" s="180"/>
      <c r="E3" s="180"/>
      <c r="F3" s="180"/>
      <c r="G3" s="180"/>
      <c r="H3" s="180"/>
    </row>
    <row r="4" spans="1:8" s="29" customFormat="1" ht="16.5" customHeight="1">
      <c r="A4" s="145" t="str">
        <f>KAPAK!B27</f>
        <v>Üniversiteli Erkekler</v>
      </c>
      <c r="B4" s="145"/>
      <c r="C4" s="146" t="str">
        <f>KAPAK!B26</f>
        <v>6 km.</v>
      </c>
      <c r="D4" s="146"/>
      <c r="E4" s="146"/>
      <c r="F4" s="182">
        <f>KAPAK!B29</f>
        <v>41953.50347222222</v>
      </c>
      <c r="G4" s="182"/>
      <c r="H4" s="182"/>
    </row>
    <row r="5" spans="1:8" s="18" customFormat="1" ht="27" customHeight="1">
      <c r="A5" s="138" t="s">
        <v>5</v>
      </c>
      <c r="B5" s="139" t="s">
        <v>29</v>
      </c>
      <c r="C5" s="140" t="s">
        <v>1</v>
      </c>
      <c r="D5" s="141" t="s">
        <v>30</v>
      </c>
      <c r="E5" s="142" t="s">
        <v>8</v>
      </c>
      <c r="F5" s="143" t="s">
        <v>7</v>
      </c>
      <c r="G5" s="144" t="s">
        <v>15</v>
      </c>
      <c r="H5" s="139" t="s">
        <v>6</v>
      </c>
    </row>
    <row r="6" spans="1:8" s="111" customFormat="1" ht="19.5" customHeight="1">
      <c r="A6" s="104"/>
      <c r="B6" s="105"/>
      <c r="C6" s="106">
        <f>IF(A8="","",INDEX('TAKIM KAYIT'!$C$6:$C$305,MATCH(C8,'TAKIM KAYIT'!$C$6:$C$305,0)-2))</f>
        <v>451</v>
      </c>
      <c r="D6" s="107" t="str">
        <f>IF(ISERROR(VLOOKUP($C6,'START LİSTE'!$B$6:$G$1006,2,0)),"",VLOOKUP($C6,'START LİSTE'!$B$6:$G$1006,2,0))</f>
        <v>VEDAT GÖNEN</v>
      </c>
      <c r="E6" s="108" t="str">
        <f>IF(ISERROR(VLOOKUP($C6,'START LİSTE'!$B$6:$G$1006,4,0)),"",VLOOKUP($C6,'START LİSTE'!$B$6:$G$1006,4,0))</f>
        <v>T</v>
      </c>
      <c r="F6" s="124">
        <f>IF(ISERROR(VLOOKUP($C6,'FERDİ SONUÇ'!$B$6:$H$819,6,0)),"",VLOOKUP($C6,'FERDİ SONUÇ'!$B$6:$H$819,6,0))</f>
        <v>1741</v>
      </c>
      <c r="G6" s="109">
        <f>IF(OR(E6="",F6="DQ",F6="DNF",F6="DNS",F6=""),"-",VLOOKUP(C6,'FERDİ SONUÇ'!$B$6:$H$819,7,0))</f>
        <v>2</v>
      </c>
      <c r="H6" s="110"/>
    </row>
    <row r="7" spans="1:8" s="111" customFormat="1" ht="19.5" customHeight="1">
      <c r="A7" s="112"/>
      <c r="B7" s="113"/>
      <c r="C7" s="114">
        <f>IF(A8="","",INDEX('TAKIM KAYIT'!$C$6:$C$305,MATCH(C8,'TAKIM KAYIT'!$C$6:$C$305,0)-1))</f>
        <v>452</v>
      </c>
      <c r="D7" s="115" t="str">
        <f>IF(ISERROR(VLOOKUP($C7,'START LİSTE'!$B$6:$G$1006,2,0)),"",VLOOKUP($C7,'START LİSTE'!$B$6:$G$1006,2,0))</f>
        <v>SEDAT GÖNEN</v>
      </c>
      <c r="E7" s="116" t="str">
        <f>IF(ISERROR(VLOOKUP($C7,'START LİSTE'!$B$6:$G$1006,4,0)),"",VLOOKUP($C7,'START LİSTE'!$B$6:$G$1006,4,0))</f>
        <v>T</v>
      </c>
      <c r="F7" s="125" t="str">
        <f>IF(ISERROR(VLOOKUP($C7,'FERDİ SONUÇ'!$B$6:$H$819,6,0)),"",VLOOKUP($C7,'FERDİ SONUÇ'!$B$6:$H$819,6,0))</f>
        <v>DNS</v>
      </c>
      <c r="G7" s="117" t="str">
        <f>IF(OR(E7="",F7="DQ",F7="DNF",F7="DNS",F7=""),"-",VLOOKUP(C7,'FERDİ SONUÇ'!$B$6:$H$819,7,0))</f>
        <v>-</v>
      </c>
      <c r="H7" s="118"/>
    </row>
    <row r="8" spans="1:8" s="111" customFormat="1" ht="19.5" customHeight="1">
      <c r="A8" s="112">
        <f>IF(ISERROR(SMALL('TAKIM KAYIT'!$A$6:$A$305,1)),"",SMALL('TAKIM KAYIT'!$A$6:$A$305,1))</f>
        <v>1</v>
      </c>
      <c r="B8" s="113" t="str">
        <f>IF(A8="","",VLOOKUP(A8,'TAKIM KAYIT'!$A$6:$J$305,2,FALSE))</f>
        <v>AĞRI- İBRAHİM ÇEÇEN ÜNİ.</v>
      </c>
      <c r="C8" s="114">
        <f>IF(A8="","",VLOOKUP(A8,'TAKIM KAYIT'!$A$6:$J$305,3,FALSE))</f>
        <v>453</v>
      </c>
      <c r="D8" s="115" t="str">
        <f>IF(ISERROR(VLOOKUP($C8,'START LİSTE'!$B$6:$G$1006,2,0)),"",VLOOKUP($C8,'START LİSTE'!$B$6:$G$1006,2,0))</f>
        <v>ADEM KARAGÖZ</v>
      </c>
      <c r="E8" s="116" t="str">
        <f>IF(ISERROR(VLOOKUP($C8,'START LİSTE'!$B$6:$G$1006,4,0)),"",VLOOKUP($C8,'START LİSTE'!$B$6:$G$1006,4,0))</f>
        <v>T</v>
      </c>
      <c r="F8" s="125">
        <f>IF(ISERROR(VLOOKUP($C8,'FERDİ SONUÇ'!$B$6:$H$819,6,0)),"",VLOOKUP($C8,'FERDİ SONUÇ'!$B$6:$H$819,6,0))</f>
        <v>2003</v>
      </c>
      <c r="G8" s="117">
        <f>IF(OR(E8="",F8="DQ",F8="DNF",F8="DNS",F8=""),"-",VLOOKUP(C8,'FERDİ SONUÇ'!$B$6:$H$819,7,0))</f>
        <v>5</v>
      </c>
      <c r="H8" s="118">
        <f>IF(A8="","",VLOOKUP(A8,'TAKIM KAYIT'!$A$6:$K$305,10,FALSE))</f>
        <v>14</v>
      </c>
    </row>
    <row r="9" spans="1:8" s="111" customFormat="1" ht="19.5" customHeight="1">
      <c r="A9" s="112"/>
      <c r="B9" s="113"/>
      <c r="C9" s="114">
        <f>IF(A8="","",INDEX('TAKIM KAYIT'!$C$6:$C$305,MATCH(C8,'TAKIM KAYIT'!$C$6:$C$305,0)+1))</f>
        <v>454</v>
      </c>
      <c r="D9" s="115" t="str">
        <f>IF(ISERROR(VLOOKUP($C9,'START LİSTE'!$B$6:$G$1006,2,0)),"",VLOOKUP($C9,'START LİSTE'!$B$6:$G$1006,2,0))</f>
        <v>ŞEHMUS SARIHAN</v>
      </c>
      <c r="E9" s="116" t="str">
        <f>IF(ISERROR(VLOOKUP($C9,'START LİSTE'!$B$6:$G$1006,4,0)),"",VLOOKUP($C9,'START LİSTE'!$B$6:$G$1006,4,0))</f>
        <v>T</v>
      </c>
      <c r="F9" s="125">
        <f>IF(ISERROR(VLOOKUP($C9,'FERDİ SONUÇ'!$B$6:$H$819,6,0)),"",VLOOKUP($C9,'FERDİ SONUÇ'!$B$6:$H$819,6,0))</f>
        <v>1917</v>
      </c>
      <c r="G9" s="117">
        <f>IF(OR(E9="",F9="DQ",F9="DNF",F9="DNS",F9=""),"-",VLOOKUP(C9,'FERDİ SONUÇ'!$B$6:$H$819,7,0))</f>
        <v>4</v>
      </c>
      <c r="H9" s="118"/>
    </row>
    <row r="10" spans="1:8" s="111" customFormat="1" ht="19.5" customHeight="1">
      <c r="A10" s="112"/>
      <c r="B10" s="113"/>
      <c r="C10" s="114">
        <f>IF(A8="","",INDEX('TAKIM KAYIT'!$C$6:$C$305,MATCH(C8,'TAKIM KAYIT'!$C$6:$C$305,0)+2))</f>
        <v>455</v>
      </c>
      <c r="D10" s="115" t="str">
        <f>IF(ISERROR(VLOOKUP($C10,'START LİSTE'!$B$6:$G$1006,2,0)),"",VLOOKUP($C10,'START LİSTE'!$B$6:$G$1006,2,0))</f>
        <v>DAVUT SASA</v>
      </c>
      <c r="E10" s="116" t="str">
        <f>IF(ISERROR(VLOOKUP($C10,'START LİSTE'!$B$6:$G$1006,4,0)),"",VLOOKUP($C10,'START LİSTE'!$B$6:$G$1006,4,0))</f>
        <v>T</v>
      </c>
      <c r="F10" s="125">
        <f>IF(ISERROR(VLOOKUP($C10,'FERDİ SONUÇ'!$B$6:$H$819,6,0)),"",VLOOKUP($C10,'FERDİ SONUÇ'!$B$6:$H$819,6,0))</f>
        <v>1845</v>
      </c>
      <c r="G10" s="117">
        <f>IF(OR(E10="",F10="DQ",F10="DNF",F10="DNS",F10=""),"-",VLOOKUP(C10,'FERDİ SONUÇ'!$B$6:$H$819,7,0))</f>
        <v>3</v>
      </c>
      <c r="H10" s="118"/>
    </row>
    <row r="11" spans="1:8" s="120" customFormat="1" ht="19.5" customHeight="1">
      <c r="A11" s="104"/>
      <c r="B11" s="105"/>
      <c r="C11" s="106">
        <f>IF(A13="","",INDEX('TAKIM KAYIT'!$C$6:$C$305,MATCH(C13,'TAKIM KAYIT'!$C$6:$C$305,0)-2))</f>
        <v>456</v>
      </c>
      <c r="D11" s="119" t="str">
        <f>IF(ISERROR(VLOOKUP($C11,'START LİSTE'!$B$6:$G$1006,2,0)),"",VLOOKUP($C11,'START LİSTE'!$B$6:$G$1006,2,0))</f>
        <v>MUZFFER BAYRAM</v>
      </c>
      <c r="E11" s="108" t="str">
        <f>IF(ISERROR(VLOOKUP($C11,'START LİSTE'!$B$6:$G$1006,4,0)),"",VLOOKUP($C11,'START LİSTE'!$B$6:$G$1006,4,0))</f>
        <v>T</v>
      </c>
      <c r="F11" s="124">
        <f>IF(ISERROR(VLOOKUP($C11,'FERDİ SONUÇ'!$B$6:$H$819,6,0)),"",VLOOKUP($C11,'FERDİ SONUÇ'!$B$6:$H$819,6,0))</f>
        <v>1740</v>
      </c>
      <c r="G11" s="109">
        <f>IF(OR(E11="",F11="DQ",F11="DNF",F11="DNS",F11=""),"-",VLOOKUP(C11,'FERDİ SONUÇ'!$B$6:$H$819,7,0))</f>
        <v>1</v>
      </c>
      <c r="H11" s="110"/>
    </row>
    <row r="12" spans="1:8" s="120" customFormat="1" ht="19.5" customHeight="1">
      <c r="A12" s="112"/>
      <c r="B12" s="113"/>
      <c r="C12" s="114">
        <f>IF(A13="","",INDEX('TAKIM KAYIT'!$C$6:$C$305,MATCH(C13,'TAKIM KAYIT'!$C$6:$C$305,0)-1))</f>
        <v>457</v>
      </c>
      <c r="D12" s="115" t="str">
        <f>IF(ISERROR(VLOOKUP($C12,'START LİSTE'!$B$6:$G$1006,2,0)),"",VLOOKUP($C12,'START LİSTE'!$B$6:$G$1006,2,0))</f>
        <v>M. ALİ TOSUN</v>
      </c>
      <c r="E12" s="116" t="str">
        <f>IF(ISERROR(VLOOKUP($C12,'START LİSTE'!$B$6:$G$1006,4,0)),"",VLOOKUP($C12,'START LİSTE'!$B$6:$G$1006,4,0))</f>
        <v>T</v>
      </c>
      <c r="F12" s="125">
        <f>IF(ISERROR(VLOOKUP($C12,'FERDİ SONUÇ'!$B$6:$H$819,6,0)),"",VLOOKUP($C12,'FERDİ SONUÇ'!$B$6:$H$819,6,0))</f>
        <v>2030</v>
      </c>
      <c r="G12" s="117">
        <f>IF(OR(E12="",F12="DQ",F12="DNF",F12="DNS",F12=""),"-",VLOOKUP(C12,'FERDİ SONUÇ'!$B$6:$H$819,7,0))</f>
        <v>6</v>
      </c>
      <c r="H12" s="118"/>
    </row>
    <row r="13" spans="1:8" s="120" customFormat="1" ht="19.5" customHeight="1">
      <c r="A13" s="112">
        <f>IF(ISERROR(SMALL('TAKIM KAYIT'!$A$6:$A$305,2)),"",SMALL('TAKIM KAYIT'!$A$6:$A$305,2))</f>
        <v>2</v>
      </c>
      <c r="B13" s="113" t="str">
        <f>IF(A13="","",VLOOKUP(A13,'TAKIM KAYIT'!$A$6:$J$305,2,FALSE))</f>
        <v>NİĞDE - NİĞDE ÜNİVERSİTESİ</v>
      </c>
      <c r="C13" s="114">
        <f>IF(A13="","",VLOOKUP(A13,'TAKIM KAYIT'!$A$6:$J$305,3,FALSE))</f>
        <v>458</v>
      </c>
      <c r="D13" s="115" t="str">
        <f>IF(ISERROR(VLOOKUP($C13,'START LİSTE'!$B$6:$G$1006,2,0)),"",VLOOKUP($C13,'START LİSTE'!$B$6:$G$1006,2,0))</f>
        <v>MUSTAFA ŞAHİN</v>
      </c>
      <c r="E13" s="116" t="str">
        <f>IF(ISERROR(VLOOKUP($C13,'START LİSTE'!$B$6:$G$1006,4,0)),"",VLOOKUP($C13,'START LİSTE'!$B$6:$G$1006,4,0))</f>
        <v>T</v>
      </c>
      <c r="F13" s="125">
        <f>IF(ISERROR(VLOOKUP($C13,'FERDİ SONUÇ'!$B$6:$H$819,6,0)),"",VLOOKUP($C13,'FERDİ SONUÇ'!$B$6:$H$819,6,0))</f>
        <v>2106</v>
      </c>
      <c r="G13" s="117">
        <f>IF(OR(E13="",F13="DQ",F13="DNF",F13="DNS",F13=""),"-",VLOOKUP(C13,'FERDİ SONUÇ'!$B$6:$H$819,7,0))</f>
        <v>7</v>
      </c>
      <c r="H13" s="118">
        <f>IF(A13="","",VLOOKUP(A13,'TAKIM KAYIT'!$A$6:$K$305,10,FALSE))</f>
        <v>22</v>
      </c>
    </row>
    <row r="14" spans="1:8" s="120" customFormat="1" ht="19.5" customHeight="1">
      <c r="A14" s="112"/>
      <c r="B14" s="113"/>
      <c r="C14" s="114">
        <f>IF(A13="","",INDEX('TAKIM KAYIT'!$C$6:$C$305,MATCH(C13,'TAKIM KAYIT'!$C$6:$C$305,0)+1))</f>
        <v>459</v>
      </c>
      <c r="D14" s="115" t="str">
        <f>IF(ISERROR(VLOOKUP($C14,'START LİSTE'!$B$6:$G$1006,2,0)),"",VLOOKUP($C14,'START LİSTE'!$B$6:$G$1006,2,0))</f>
        <v>EREN YILDIZ</v>
      </c>
      <c r="E14" s="116" t="str">
        <f>IF(ISERROR(VLOOKUP($C14,'START LİSTE'!$B$6:$G$1006,4,0)),"",VLOOKUP($C14,'START LİSTE'!$B$6:$G$1006,4,0))</f>
        <v>T</v>
      </c>
      <c r="F14" s="125">
        <f>IF(ISERROR(VLOOKUP($C14,'FERDİ SONUÇ'!$B$6:$H$819,6,0)),"",VLOOKUP($C14,'FERDİ SONUÇ'!$B$6:$H$819,6,0))</f>
        <v>2245</v>
      </c>
      <c r="G14" s="117">
        <f>IF(OR(E14="",F14="DQ",F14="DNF",F14="DNS",F14=""),"-",VLOOKUP(C14,'FERDİ SONUÇ'!$B$6:$H$819,7,0))</f>
        <v>8</v>
      </c>
      <c r="H14" s="118"/>
    </row>
    <row r="15" spans="1:8" s="120" customFormat="1" ht="19.5" customHeight="1">
      <c r="A15" s="112"/>
      <c r="B15" s="113"/>
      <c r="C15" s="114">
        <f>IF(A13="","",INDEX('TAKIM KAYIT'!$C$6:$C$305,MATCH(C13,'TAKIM KAYIT'!$C$6:$C$305,0)+2))</f>
        <v>460</v>
      </c>
      <c r="D15" s="115" t="str">
        <f>IF(ISERROR(VLOOKUP($C15,'START LİSTE'!$B$6:$G$1006,2,0)),"",VLOOKUP($C15,'START LİSTE'!$B$6:$G$1006,2,0))</f>
        <v>GÖKHAN SALDUZ</v>
      </c>
      <c r="E15" s="116" t="str">
        <f>IF(ISERROR(VLOOKUP($C15,'START LİSTE'!$B$6:$G$1006,4,0)),"",VLOOKUP($C15,'START LİSTE'!$B$6:$G$1006,4,0))</f>
        <v>T</v>
      </c>
      <c r="F15" s="125">
        <f>IF(ISERROR(VLOOKUP($C15,'FERDİ SONUÇ'!$B$6:$H$819,6,0)),"",VLOOKUP($C15,'FERDİ SONUÇ'!$B$6:$H$819,6,0))</f>
        <v>2350</v>
      </c>
      <c r="G15" s="117">
        <f>IF(OR(E15="",F15="DQ",F15="DNF",F15="DNS",F15=""),"-",VLOOKUP(C15,'FERDİ SONUÇ'!$B$6:$H$819,7,0))</f>
        <v>10</v>
      </c>
      <c r="H15" s="118"/>
    </row>
    <row r="16" spans="1:8" s="120" customFormat="1" ht="19.5" customHeight="1">
      <c r="A16" s="104"/>
      <c r="B16" s="105"/>
      <c r="C16" s="106">
        <f>IF(A18="","",INDEX('TAKIM KAYIT'!$C$6:$C$305,MATCH(C18,'TAKIM KAYIT'!$C$6:$C$305,0)-2))</f>
        <v>461</v>
      </c>
      <c r="D16" s="119" t="str">
        <f>IF(ISERROR(VLOOKUP($C16,'START LİSTE'!$B$6:$G$1006,2,0)),"",VLOOKUP($C16,'START LİSTE'!$B$6:$G$1006,2,0))</f>
        <v>ABDULHAMİT DOĞAN</v>
      </c>
      <c r="E16" s="108" t="str">
        <f>IF(ISERROR(VLOOKUP($C16,'START LİSTE'!$B$6:$G$1006,4,0)),"",VLOOKUP($C16,'START LİSTE'!$B$6:$G$1006,4,0))</f>
        <v>T</v>
      </c>
      <c r="F16" s="124">
        <f>IF(ISERROR(VLOOKUP($C16,'FERDİ SONUÇ'!$B$6:$H$819,6,0)),"",VLOOKUP($C16,'FERDİ SONUÇ'!$B$6:$H$819,6,0))</f>
        <v>2301</v>
      </c>
      <c r="G16" s="109">
        <f>IF(OR(E16="",F16="DQ",F16="DNF",F16="DNS",F16=""),"-",VLOOKUP(C16,'FERDİ SONUÇ'!$B$6:$H$819,7,0))</f>
        <v>9</v>
      </c>
      <c r="H16" s="110"/>
    </row>
    <row r="17" spans="1:8" s="120" customFormat="1" ht="19.5" customHeight="1">
      <c r="A17" s="112"/>
      <c r="B17" s="113"/>
      <c r="C17" s="114">
        <f>IF(A18="","",INDEX('TAKIM KAYIT'!$C$6:$C$305,MATCH(C18,'TAKIM KAYIT'!$C$6:$C$305,0)-1))</f>
        <v>462</v>
      </c>
      <c r="D17" s="115" t="str">
        <f>IF(ISERROR(VLOOKUP($C17,'START LİSTE'!$B$6:$G$1006,2,0)),"",VLOOKUP($C17,'START LİSTE'!$B$6:$G$1006,2,0))</f>
        <v>MEHMET KÜÇÜKAKÇALI</v>
      </c>
      <c r="E17" s="116" t="str">
        <f>IF(ISERROR(VLOOKUP($C17,'START LİSTE'!$B$6:$G$1006,4,0)),"",VLOOKUP($C17,'START LİSTE'!$B$6:$G$1006,4,0))</f>
        <v>T</v>
      </c>
      <c r="F17" s="125">
        <f>IF(ISERROR(VLOOKUP($C17,'FERDİ SONUÇ'!$B$6:$H$819,6,0)),"",VLOOKUP($C17,'FERDİ SONUÇ'!$B$6:$H$819,6,0))</f>
        <v>2522</v>
      </c>
      <c r="G17" s="117">
        <f>IF(OR(E17="",F17="DQ",F17="DNF",F17="DNS",F17=""),"-",VLOOKUP(C17,'FERDİ SONUÇ'!$B$6:$H$819,7,0))</f>
        <v>12</v>
      </c>
      <c r="H17" s="118"/>
    </row>
    <row r="18" spans="1:8" s="120" customFormat="1" ht="19.5" customHeight="1">
      <c r="A18" s="112">
        <f>IF(ISERROR(SMALL('TAKIM KAYIT'!$A$6:$A$305,3)),"",SMALL('TAKIM KAYIT'!$A$6:$A$305,3))</f>
        <v>3</v>
      </c>
      <c r="B18" s="113" t="str">
        <f>IF(A18="","",VLOOKUP(A18,'TAKIM KAYIT'!$A$6:$J$305,2,FALSE))</f>
        <v>ANKARA-POLİS AKADEMİSİ</v>
      </c>
      <c r="C18" s="114">
        <f>IF(A18="","",VLOOKUP(A18,'TAKIM KAYIT'!$A$6:$J$305,3,FALSE))</f>
        <v>463</v>
      </c>
      <c r="D18" s="115" t="str">
        <f>IF(ISERROR(VLOOKUP($C18,'START LİSTE'!$B$6:$G$1006,2,0)),"",VLOOKUP($C18,'START LİSTE'!$B$6:$G$1006,2,0))</f>
        <v>ABDULKADİR KÖSEOĞLU</v>
      </c>
      <c r="E18" s="116" t="str">
        <f>IF(ISERROR(VLOOKUP($C18,'START LİSTE'!$B$6:$G$1006,4,0)),"",VLOOKUP($C18,'START LİSTE'!$B$6:$G$1006,4,0))</f>
        <v>T</v>
      </c>
      <c r="F18" s="125">
        <f>IF(ISERROR(VLOOKUP($C18,'FERDİ SONUÇ'!$B$6:$H$819,6,0)),"",VLOOKUP($C18,'FERDİ SONUÇ'!$B$6:$H$819,6,0))</f>
        <v>2424</v>
      </c>
      <c r="G18" s="117">
        <f>IF(OR(E18="",F18="DQ",F18="DNF",F18="DNS",F18=""),"-",VLOOKUP(C18,'FERDİ SONUÇ'!$B$6:$H$819,7,0))</f>
        <v>11</v>
      </c>
      <c r="H18" s="118">
        <f>IF(A18="","",VLOOKUP(A18,'TAKIM KAYIT'!$A$6:$K$305,10,FALSE))</f>
        <v>45</v>
      </c>
    </row>
    <row r="19" spans="1:8" s="120" customFormat="1" ht="19.5" customHeight="1">
      <c r="A19" s="112"/>
      <c r="B19" s="113"/>
      <c r="C19" s="114">
        <f>IF(A18="","",INDEX('TAKIM KAYIT'!$C$6:$C$305,MATCH(C18,'TAKIM KAYIT'!$C$6:$C$305,0)+1))</f>
        <v>464</v>
      </c>
      <c r="D19" s="115" t="str">
        <f>IF(ISERROR(VLOOKUP($C19,'START LİSTE'!$B$6:$G$1006,2,0)),"",VLOOKUP($C19,'START LİSTE'!$B$6:$G$1006,2,0))</f>
        <v>OSMANHAN CENGİZ</v>
      </c>
      <c r="E19" s="116" t="str">
        <f>IF(ISERROR(VLOOKUP($C19,'START LİSTE'!$B$6:$G$1006,4,0)),"",VLOOKUP($C19,'START LİSTE'!$B$6:$G$1006,4,0))</f>
        <v>T</v>
      </c>
      <c r="F19" s="125">
        <f>IF(ISERROR(VLOOKUP($C19,'FERDİ SONUÇ'!$B$6:$H$819,6,0)),"",VLOOKUP($C19,'FERDİ SONUÇ'!$B$6:$H$819,6,0))</f>
        <v>2526</v>
      </c>
      <c r="G19" s="117">
        <f>IF(OR(E19="",F19="DQ",F19="DNF",F19="DNS",F19=""),"-",VLOOKUP(C19,'FERDİ SONUÇ'!$B$6:$H$819,7,0))</f>
        <v>13</v>
      </c>
      <c r="H19" s="118"/>
    </row>
    <row r="20" spans="1:8" s="120" customFormat="1" ht="19.5" customHeight="1">
      <c r="A20" s="112"/>
      <c r="B20" s="113"/>
      <c r="C20" s="114">
        <f>IF(A18="","",INDEX('TAKIM KAYIT'!$C$6:$C$305,MATCH(C18,'TAKIM KAYIT'!$C$6:$C$305,0)+2))</f>
        <v>465</v>
      </c>
      <c r="D20" s="115" t="str">
        <f>IF(ISERROR(VLOOKUP($C20,'START LİSTE'!$B$6:$G$1006,2,0)),"",VLOOKUP($C20,'START LİSTE'!$B$6:$G$1006,2,0))</f>
        <v>İBRAHİM AVSUZ</v>
      </c>
      <c r="E20" s="116" t="str">
        <f>IF(ISERROR(VLOOKUP($C20,'START LİSTE'!$B$6:$G$1006,4,0)),"",VLOOKUP($C20,'START LİSTE'!$B$6:$G$1006,4,0))</f>
        <v>T</v>
      </c>
      <c r="F20" s="125">
        <f>IF(ISERROR(VLOOKUP($C20,'FERDİ SONUÇ'!$B$6:$H$819,6,0)),"",VLOOKUP($C20,'FERDİ SONUÇ'!$B$6:$H$819,6,0))</f>
        <v>2703</v>
      </c>
      <c r="G20" s="117">
        <f>IF(OR(E20="",F20="DQ",F20="DNF",F20="DNS",F20=""),"-",VLOOKUP(C20,'FERDİ SONUÇ'!$B$6:$H$819,7,0))</f>
        <v>14</v>
      </c>
      <c r="H20" s="118"/>
    </row>
    <row r="21" spans="1:8" s="120" customFormat="1" ht="19.5" customHeight="1">
      <c r="A21" s="104"/>
      <c r="B21" s="105"/>
      <c r="C21" s="106">
        <f>IF(A23="","",INDEX('TAKIM KAYIT'!$C$6:$C$305,MATCH(C23,'TAKIM KAYIT'!$C$6:$C$305,0)-2))</f>
      </c>
      <c r="D21" s="119">
        <f>IF(ISERROR(VLOOKUP($C21,'START LİSTE'!$B$6:$G$1006,2,0)),"",VLOOKUP($C21,'START LİSTE'!$B$6:$G$1006,2,0))</f>
      </c>
      <c r="E21" s="108">
        <f>IF(ISERROR(VLOOKUP($C21,'START LİSTE'!$B$6:$G$1006,4,0)),"",VLOOKUP($C21,'START LİSTE'!$B$6:$G$1006,4,0))</f>
      </c>
      <c r="F21" s="124">
        <f>IF(ISERROR(VLOOKUP($C21,'FERDİ SONUÇ'!$B$6:$H$819,6,0)),"",VLOOKUP($C21,'FERDİ SONUÇ'!$B$6:$H$819,6,0))</f>
      </c>
      <c r="G21" s="121" t="str">
        <f>IF(OR(E21="",F21="DQ",F21="DNF",F21="DNS",F21=""),"-",VLOOKUP(C21,'FERDİ SONUÇ'!$B$6:$H$819,7,0))</f>
        <v>-</v>
      </c>
      <c r="H21" s="110"/>
    </row>
    <row r="22" spans="1:8" s="120" customFormat="1" ht="19.5" customHeight="1">
      <c r="A22" s="112"/>
      <c r="B22" s="113"/>
      <c r="C22" s="114">
        <f>IF(A23="","",INDEX('TAKIM KAYIT'!$C$6:$C$305,MATCH(C23,'TAKIM KAYIT'!$C$6:$C$305,0)-1))</f>
      </c>
      <c r="D22" s="115">
        <f>IF(ISERROR(VLOOKUP($C22,'START LİSTE'!$B$6:$G$1006,2,0)),"",VLOOKUP($C22,'START LİSTE'!$B$6:$G$1006,2,0))</f>
      </c>
      <c r="E22" s="116">
        <f>IF(ISERROR(VLOOKUP($C22,'START LİSTE'!$B$6:$G$1006,4,0)),"",VLOOKUP($C22,'START LİSTE'!$B$6:$G$1006,4,0))</f>
      </c>
      <c r="F22" s="125">
        <f>IF(ISERROR(VLOOKUP($C22,'FERDİ SONUÇ'!$B$6:$H$819,6,0)),"",VLOOKUP($C22,'FERDİ SONUÇ'!$B$6:$H$819,6,0))</f>
      </c>
      <c r="G22" s="122" t="str">
        <f>IF(OR(E22="",F22="DQ",F22="DNF",F22="DNS",F22=""),"-",VLOOKUP(C22,'FERDİ SONUÇ'!$B$6:$H$819,7,0))</f>
        <v>-</v>
      </c>
      <c r="H22" s="118"/>
    </row>
    <row r="23" spans="1:8" s="120" customFormat="1" ht="19.5" customHeight="1">
      <c r="A23" s="112">
        <f>IF(ISERROR(SMALL('TAKIM KAYIT'!$A$6:$A$305,4)),"",SMALL('TAKIM KAYIT'!$A$6:$A$305,4))</f>
      </c>
      <c r="B23" s="113">
        <f>IF(A23="","",VLOOKUP(A23,'TAKIM KAYIT'!$A$6:$J$305,2,FALSE))</f>
      </c>
      <c r="C23" s="114">
        <f>IF(A23="","",VLOOKUP(A23,'TAKIM KAYIT'!$A$6:$J$305,3,FALSE))</f>
      </c>
      <c r="D23" s="115">
        <f>IF(ISERROR(VLOOKUP($C23,'START LİSTE'!$B$6:$G$1006,2,0)),"",VLOOKUP($C23,'START LİSTE'!$B$6:$G$1006,2,0))</f>
      </c>
      <c r="E23" s="116">
        <f>IF(ISERROR(VLOOKUP($C23,'START LİSTE'!$B$6:$G$1006,4,0)),"",VLOOKUP($C23,'START LİSTE'!$B$6:$G$1006,4,0))</f>
      </c>
      <c r="F23" s="125">
        <f>IF(ISERROR(VLOOKUP($C23,'FERDİ SONUÇ'!$B$6:$H$819,6,0)),"",VLOOKUP($C23,'FERDİ SONUÇ'!$B$6:$H$819,6,0))</f>
      </c>
      <c r="G23" s="122" t="str">
        <f>IF(OR(E23="",F23="DQ",F23="DNF",F23="DNS",F23=""),"-",VLOOKUP(C23,'FERDİ SONUÇ'!$B$6:$H$819,7,0))</f>
        <v>-</v>
      </c>
      <c r="H23" s="118">
        <f>IF(A23="","",VLOOKUP(A23,'TAKIM KAYIT'!$A$6:$K$305,10,FALSE))</f>
      </c>
    </row>
    <row r="24" spans="1:8" s="120" customFormat="1" ht="19.5" customHeight="1">
      <c r="A24" s="112"/>
      <c r="B24" s="113"/>
      <c r="C24" s="114">
        <f>IF(A23="","",INDEX('TAKIM KAYIT'!$C$6:$C$305,MATCH(C23,'TAKIM KAYIT'!$C$6:$C$305,0)+1))</f>
      </c>
      <c r="D24" s="115">
        <f>IF(ISERROR(VLOOKUP($C24,'START LİSTE'!$B$6:$G$1006,2,0)),"",VLOOKUP($C24,'START LİSTE'!$B$6:$G$1006,2,0))</f>
      </c>
      <c r="E24" s="116">
        <f>IF(ISERROR(VLOOKUP($C24,'START LİSTE'!$B$6:$G$1006,4,0)),"",VLOOKUP($C24,'START LİSTE'!$B$6:$G$1006,4,0))</f>
      </c>
      <c r="F24" s="125">
        <f>IF(ISERROR(VLOOKUP($C24,'FERDİ SONUÇ'!$B$6:$H$819,6,0)),"",VLOOKUP($C24,'FERDİ SONUÇ'!$B$6:$H$819,6,0))</f>
      </c>
      <c r="G24" s="122" t="str">
        <f>IF(OR(E24="",F24="DQ",F24="DNF",F24="DNS",F24=""),"-",VLOOKUP(C24,'FERDİ SONUÇ'!$B$6:$H$819,7,0))</f>
        <v>-</v>
      </c>
      <c r="H24" s="118"/>
    </row>
    <row r="25" spans="1:8" s="120" customFormat="1" ht="19.5" customHeight="1">
      <c r="A25" s="112"/>
      <c r="B25" s="113"/>
      <c r="C25" s="114">
        <f>IF(A23="","",INDEX('TAKIM KAYIT'!$C$6:$C$305,MATCH(C23,'TAKIM KAYIT'!$C$6:$C$305,0)+2))</f>
      </c>
      <c r="D25" s="115">
        <f>IF(ISERROR(VLOOKUP($C25,'START LİSTE'!$B$6:$G$1006,2,0)),"",VLOOKUP($C25,'START LİSTE'!$B$6:$G$1006,2,0))</f>
      </c>
      <c r="E25" s="116">
        <f>IF(ISERROR(VLOOKUP($C25,'START LİSTE'!$B$6:$G$1006,4,0)),"",VLOOKUP($C25,'START LİSTE'!$B$6:$G$1006,4,0))</f>
      </c>
      <c r="F25" s="125">
        <f>IF(ISERROR(VLOOKUP($C25,'FERDİ SONUÇ'!$B$6:$H$819,6,0)),"",VLOOKUP($C25,'FERDİ SONUÇ'!$B$6:$H$819,6,0))</f>
      </c>
      <c r="G25" s="122" t="str">
        <f>IF(OR(E25="",F25="DQ",F25="DNF",F25="DNS",F25=""),"-",VLOOKUP(C25,'FERDİ SONUÇ'!$B$6:$H$819,7,0))</f>
        <v>-</v>
      </c>
      <c r="H25" s="118"/>
    </row>
    <row r="26" spans="1:8" s="120" customFormat="1" ht="19.5" customHeight="1">
      <c r="A26" s="104"/>
      <c r="B26" s="105"/>
      <c r="C26" s="106">
        <f>IF(A28="","",INDEX('TAKIM KAYIT'!$C$6:$C$305,MATCH(C28,'TAKIM KAYIT'!$C$6:$C$305,0)-2))</f>
      </c>
      <c r="D26" s="119">
        <f>IF(ISERROR(VLOOKUP($C26,'START LİSTE'!$B$6:$G$1006,2,0)),"",VLOOKUP($C26,'START LİSTE'!$B$6:$G$1006,2,0))</f>
      </c>
      <c r="E26" s="108">
        <f>IF(ISERROR(VLOOKUP($C26,'START LİSTE'!$B$6:$G$1006,4,0)),"",VLOOKUP($C26,'START LİSTE'!$B$6:$G$1006,4,0))</f>
      </c>
      <c r="F26" s="124">
        <f>IF(ISERROR(VLOOKUP($C26,'FERDİ SONUÇ'!$B$6:$H$819,6,0)),"",VLOOKUP($C26,'FERDİ SONUÇ'!$B$6:$H$819,6,0))</f>
      </c>
      <c r="G26" s="121" t="str">
        <f>IF(OR(E26="",F26="DQ",F26="DNF",F26="DNS",F26=""),"-",VLOOKUP(C26,'FERDİ SONUÇ'!$B$6:$H$819,7,0))</f>
        <v>-</v>
      </c>
      <c r="H26" s="110"/>
    </row>
    <row r="27" spans="1:8" s="120" customFormat="1" ht="19.5" customHeight="1">
      <c r="A27" s="112"/>
      <c r="B27" s="113"/>
      <c r="C27" s="114">
        <f>IF(A28="","",INDEX('TAKIM KAYIT'!$C$6:$C$305,MATCH(C28,'TAKIM KAYIT'!$C$6:$C$305,0)-1))</f>
      </c>
      <c r="D27" s="115">
        <f>IF(ISERROR(VLOOKUP($C27,'START LİSTE'!$B$6:$G$1006,2,0)),"",VLOOKUP($C27,'START LİSTE'!$B$6:$G$1006,2,0))</f>
      </c>
      <c r="E27" s="116">
        <f>IF(ISERROR(VLOOKUP($C27,'START LİSTE'!$B$6:$G$1006,4,0)),"",VLOOKUP($C27,'START LİSTE'!$B$6:$G$1006,4,0))</f>
      </c>
      <c r="F27" s="125">
        <f>IF(ISERROR(VLOOKUP($C27,'FERDİ SONUÇ'!$B$6:$H$819,6,0)),"",VLOOKUP($C27,'FERDİ SONUÇ'!$B$6:$H$819,6,0))</f>
      </c>
      <c r="G27" s="122" t="str">
        <f>IF(OR(E27="",F27="DQ",F27="DNF",F27="DNS",F27=""),"-",VLOOKUP(C27,'FERDİ SONUÇ'!$B$6:$H$819,7,0))</f>
        <v>-</v>
      </c>
      <c r="H27" s="118"/>
    </row>
    <row r="28" spans="1:8" s="120" customFormat="1" ht="19.5" customHeight="1">
      <c r="A28" s="112">
        <f>IF(ISERROR(SMALL('TAKIM KAYIT'!$A$6:$A$305,5)),"",SMALL('TAKIM KAYIT'!$A$6:$A$305,5))</f>
      </c>
      <c r="B28" s="113">
        <f>IF(A28="","",VLOOKUP(A28,'TAKIM KAYIT'!$A$6:$J$305,2,FALSE))</f>
      </c>
      <c r="C28" s="114">
        <f>IF(A28="","",VLOOKUP(A28,'TAKIM KAYIT'!$A$6:$J$305,3,FALSE))</f>
      </c>
      <c r="D28" s="115">
        <f>IF(ISERROR(VLOOKUP($C28,'START LİSTE'!$B$6:$G$1006,2,0)),"",VLOOKUP($C28,'START LİSTE'!$B$6:$G$1006,2,0))</f>
      </c>
      <c r="E28" s="116">
        <f>IF(ISERROR(VLOOKUP($C28,'START LİSTE'!$B$6:$G$1006,4,0)),"",VLOOKUP($C28,'START LİSTE'!$B$6:$G$1006,4,0))</f>
      </c>
      <c r="F28" s="125">
        <f>IF(ISERROR(VLOOKUP($C28,'FERDİ SONUÇ'!$B$6:$H$819,6,0)),"",VLOOKUP($C28,'FERDİ SONUÇ'!$B$6:$H$819,6,0))</f>
      </c>
      <c r="G28" s="122" t="str">
        <f>IF(OR(E28="",F28="DQ",F28="DNF",F28="DNS",F28=""),"-",VLOOKUP(C28,'FERDİ SONUÇ'!$B$6:$H$819,7,0))</f>
        <v>-</v>
      </c>
      <c r="H28" s="118">
        <f>IF(A28="","",VLOOKUP(A28,'TAKIM KAYIT'!$A$6:$K$305,10,FALSE))</f>
      </c>
    </row>
    <row r="29" spans="1:8" s="120" customFormat="1" ht="19.5" customHeight="1">
      <c r="A29" s="112"/>
      <c r="B29" s="113"/>
      <c r="C29" s="114">
        <f>IF(A28="","",INDEX('TAKIM KAYIT'!$C$6:$C$305,MATCH(C28,'TAKIM KAYIT'!$C$6:$C$305,0)+1))</f>
      </c>
      <c r="D29" s="115">
        <f>IF(ISERROR(VLOOKUP($C29,'START LİSTE'!$B$6:$G$1006,2,0)),"",VLOOKUP($C29,'START LİSTE'!$B$6:$G$1006,2,0))</f>
      </c>
      <c r="E29" s="116">
        <f>IF(ISERROR(VLOOKUP($C29,'START LİSTE'!$B$6:$G$1006,4,0)),"",VLOOKUP($C29,'START LİSTE'!$B$6:$G$1006,4,0))</f>
      </c>
      <c r="F29" s="125">
        <f>IF(ISERROR(VLOOKUP($C29,'FERDİ SONUÇ'!$B$6:$H$819,6,0)),"",VLOOKUP($C29,'FERDİ SONUÇ'!$B$6:$H$819,6,0))</f>
      </c>
      <c r="G29" s="122" t="str">
        <f>IF(OR(E29="",F29="DQ",F29="DNF",F29="DNS",F29=""),"-",VLOOKUP(C29,'FERDİ SONUÇ'!$B$6:$H$819,7,0))</f>
        <v>-</v>
      </c>
      <c r="H29" s="118"/>
    </row>
    <row r="30" spans="1:8" s="120" customFormat="1" ht="19.5" customHeight="1">
      <c r="A30" s="112"/>
      <c r="B30" s="113"/>
      <c r="C30" s="114">
        <f>IF(A28="","",INDEX('TAKIM KAYIT'!$C$6:$C$305,MATCH(C28,'TAKIM KAYIT'!$C$6:$C$305,0)+2))</f>
      </c>
      <c r="D30" s="115">
        <f>IF(ISERROR(VLOOKUP($C30,'START LİSTE'!$B$6:$G$1006,2,0)),"",VLOOKUP($C30,'START LİSTE'!$B$6:$G$1006,2,0))</f>
      </c>
      <c r="E30" s="116">
        <f>IF(ISERROR(VLOOKUP($C30,'START LİSTE'!$B$6:$G$1006,4,0)),"",VLOOKUP($C30,'START LİSTE'!$B$6:$G$1006,4,0))</f>
      </c>
      <c r="F30" s="125">
        <f>IF(ISERROR(VLOOKUP($C30,'FERDİ SONUÇ'!$B$6:$H$819,6,0)),"",VLOOKUP($C30,'FERDİ SONUÇ'!$B$6:$H$819,6,0))</f>
      </c>
      <c r="G30" s="122" t="str">
        <f>IF(OR(E30="",F30="DQ",F30="DNF",F30="DNS",F30=""),"-",VLOOKUP(C30,'FERDİ SONUÇ'!$B$6:$H$819,7,0))</f>
        <v>-</v>
      </c>
      <c r="H30" s="118"/>
    </row>
    <row r="31" spans="1:8" s="120" customFormat="1" ht="19.5" customHeight="1">
      <c r="A31" s="104"/>
      <c r="B31" s="105"/>
      <c r="C31" s="106">
        <f>IF(A33="","",INDEX('TAKIM KAYIT'!$C$6:$C$305,MATCH(C33,'TAKIM KAYIT'!$C$6:$C$305,0)-2))</f>
      </c>
      <c r="D31" s="119">
        <f>IF(ISERROR(VLOOKUP($C31,'START LİSTE'!$B$6:$G$1006,2,0)),"",VLOOKUP($C31,'START LİSTE'!$B$6:$G$1006,2,0))</f>
      </c>
      <c r="E31" s="108">
        <f>IF(ISERROR(VLOOKUP($C31,'START LİSTE'!$B$6:$G$1006,4,0)),"",VLOOKUP($C31,'START LİSTE'!$B$6:$G$1006,4,0))</f>
      </c>
      <c r="F31" s="124">
        <f>IF(ISERROR(VLOOKUP($C31,'FERDİ SONUÇ'!$B$6:$H$819,6,0)),"",VLOOKUP($C31,'FERDİ SONUÇ'!$B$6:$H$819,6,0))</f>
      </c>
      <c r="G31" s="121" t="str">
        <f>IF(OR(E31="",F31="DQ",F31="DNF",F31="DNS",F31=""),"-",VLOOKUP(C31,'FERDİ SONUÇ'!$B$6:$H$819,7,0))</f>
        <v>-</v>
      </c>
      <c r="H31" s="110"/>
    </row>
    <row r="32" spans="1:8" s="120" customFormat="1" ht="19.5" customHeight="1">
      <c r="A32" s="112"/>
      <c r="B32" s="113"/>
      <c r="C32" s="114">
        <f>IF(A33="","",INDEX('TAKIM KAYIT'!$C$6:$C$305,MATCH(C33,'TAKIM KAYIT'!$C$6:$C$305,0)-1))</f>
      </c>
      <c r="D32" s="115">
        <f>IF(ISERROR(VLOOKUP($C32,'START LİSTE'!$B$6:$G$1006,2,0)),"",VLOOKUP($C32,'START LİSTE'!$B$6:$G$1006,2,0))</f>
      </c>
      <c r="E32" s="116">
        <f>IF(ISERROR(VLOOKUP($C32,'START LİSTE'!$B$6:$G$1006,4,0)),"",VLOOKUP($C32,'START LİSTE'!$B$6:$G$1006,4,0))</f>
      </c>
      <c r="F32" s="125">
        <f>IF(ISERROR(VLOOKUP($C32,'FERDİ SONUÇ'!$B$6:$H$819,6,0)),"",VLOOKUP($C32,'FERDİ SONUÇ'!$B$6:$H$819,6,0))</f>
      </c>
      <c r="G32" s="122" t="str">
        <f>IF(OR(E32="",F32="DQ",F32="DNF",F32="DNS",F32=""),"-",VLOOKUP(C32,'FERDİ SONUÇ'!$B$6:$H$819,7,0))</f>
        <v>-</v>
      </c>
      <c r="H32" s="118"/>
    </row>
    <row r="33" spans="1:8" s="120" customFormat="1" ht="19.5" customHeight="1">
      <c r="A33" s="112">
        <f>IF(ISERROR(SMALL('TAKIM KAYIT'!$A$6:$A$305,6)),"",SMALL('TAKIM KAYIT'!$A$6:$A$305,6))</f>
      </c>
      <c r="B33" s="113">
        <f>IF(A33="","",VLOOKUP(A33,'TAKIM KAYIT'!$A$6:$J$305,2,FALSE))</f>
      </c>
      <c r="C33" s="114">
        <f>IF(A33="","",VLOOKUP(A33,'TAKIM KAYIT'!$A$6:$J$305,3,FALSE))</f>
      </c>
      <c r="D33" s="115">
        <f>IF(ISERROR(VLOOKUP($C33,'START LİSTE'!$B$6:$G$1006,2,0)),"",VLOOKUP($C33,'START LİSTE'!$B$6:$G$1006,2,0))</f>
      </c>
      <c r="E33" s="116">
        <f>IF(ISERROR(VLOOKUP($C33,'START LİSTE'!$B$6:$G$1006,4,0)),"",VLOOKUP($C33,'START LİSTE'!$B$6:$G$1006,4,0))</f>
      </c>
      <c r="F33" s="125">
        <f>IF(ISERROR(VLOOKUP($C33,'FERDİ SONUÇ'!$B$6:$H$819,6,0)),"",VLOOKUP($C33,'FERDİ SONUÇ'!$B$6:$H$819,6,0))</f>
      </c>
      <c r="G33" s="122" t="str">
        <f>IF(OR(E33="",F33="DQ",F33="DNF",F33="DNS",F33=""),"-",VLOOKUP(C33,'FERDİ SONUÇ'!$B$6:$H$819,7,0))</f>
        <v>-</v>
      </c>
      <c r="H33" s="118">
        <f>IF(A33="","",VLOOKUP(A33,'TAKIM KAYIT'!$A$6:$K$305,10,FALSE))</f>
      </c>
    </row>
    <row r="34" spans="1:8" s="120" customFormat="1" ht="19.5" customHeight="1">
      <c r="A34" s="112"/>
      <c r="B34" s="113"/>
      <c r="C34" s="114">
        <f>IF(A33="","",INDEX('TAKIM KAYIT'!$C$6:$C$305,MATCH(C33,'TAKIM KAYIT'!$C$6:$C$305,0)+1))</f>
      </c>
      <c r="D34" s="115">
        <f>IF(ISERROR(VLOOKUP($C34,'START LİSTE'!$B$6:$G$1006,2,0)),"",VLOOKUP($C34,'START LİSTE'!$B$6:$G$1006,2,0))</f>
      </c>
      <c r="E34" s="116">
        <f>IF(ISERROR(VLOOKUP($C34,'START LİSTE'!$B$6:$G$1006,4,0)),"",VLOOKUP($C34,'START LİSTE'!$B$6:$G$1006,4,0))</f>
      </c>
      <c r="F34" s="125">
        <f>IF(ISERROR(VLOOKUP($C34,'FERDİ SONUÇ'!$B$6:$H$819,6,0)),"",VLOOKUP($C34,'FERDİ SONUÇ'!$B$6:$H$819,6,0))</f>
      </c>
      <c r="G34" s="122" t="str">
        <f>IF(OR(E34="",F34="DQ",F34="DNF",F34="DNS",F34=""),"-",VLOOKUP(C34,'FERDİ SONUÇ'!$B$6:$H$819,7,0))</f>
        <v>-</v>
      </c>
      <c r="H34" s="118"/>
    </row>
    <row r="35" spans="1:8" s="120" customFormat="1" ht="19.5" customHeight="1">
      <c r="A35" s="112"/>
      <c r="B35" s="113"/>
      <c r="C35" s="114">
        <f>IF(A33="","",INDEX('TAKIM KAYIT'!$C$6:$C$305,MATCH(C33,'TAKIM KAYIT'!$C$6:$C$305,0)+2))</f>
      </c>
      <c r="D35" s="115">
        <f>IF(ISERROR(VLOOKUP($C35,'START LİSTE'!$B$6:$G$1006,2,0)),"",VLOOKUP($C35,'START LİSTE'!$B$6:$G$1006,2,0))</f>
      </c>
      <c r="E35" s="116">
        <f>IF(ISERROR(VLOOKUP($C35,'START LİSTE'!$B$6:$G$1006,4,0)),"",VLOOKUP($C35,'START LİSTE'!$B$6:$G$1006,4,0))</f>
      </c>
      <c r="F35" s="125">
        <f>IF(ISERROR(VLOOKUP($C35,'FERDİ SONUÇ'!$B$6:$H$819,6,0)),"",VLOOKUP($C35,'FERDİ SONUÇ'!$B$6:$H$819,6,0))</f>
      </c>
      <c r="G35" s="122" t="str">
        <f>IF(OR(E35="",F35="DQ",F35="DNF",F35="DNS",F35=""),"-",VLOOKUP(C35,'FERDİ SONUÇ'!$B$6:$H$819,7,0))</f>
        <v>-</v>
      </c>
      <c r="H35" s="118"/>
    </row>
    <row r="36" spans="1:8" s="120" customFormat="1" ht="19.5" customHeight="1">
      <c r="A36" s="104"/>
      <c r="B36" s="105"/>
      <c r="C36" s="106">
        <f>IF(A38="","",INDEX('TAKIM KAYIT'!$C$6:$C$305,MATCH(C38,'TAKIM KAYIT'!$C$6:$C$305,0)-2))</f>
      </c>
      <c r="D36" s="119">
        <f>IF(ISERROR(VLOOKUP($C36,'START LİSTE'!$B$6:$G$1006,2,0)),"",VLOOKUP($C36,'START LİSTE'!$B$6:$G$1006,2,0))</f>
      </c>
      <c r="E36" s="108">
        <f>IF(ISERROR(VLOOKUP($C36,'START LİSTE'!$B$6:$G$1006,4,0)),"",VLOOKUP($C36,'START LİSTE'!$B$6:$G$1006,4,0))</f>
      </c>
      <c r="F36" s="124">
        <f>IF(ISERROR(VLOOKUP($C36,'FERDİ SONUÇ'!$B$6:$H$819,6,0)),"",VLOOKUP($C36,'FERDİ SONUÇ'!$B$6:$H$819,6,0))</f>
      </c>
      <c r="G36" s="121" t="str">
        <f>IF(OR(E36="",F36="DQ",F36="DNF",F36="DNS",F36=""),"-",VLOOKUP(C36,'FERDİ SONUÇ'!$B$6:$H$819,7,0))</f>
        <v>-</v>
      </c>
      <c r="H36" s="110"/>
    </row>
    <row r="37" spans="1:8" s="120" customFormat="1" ht="19.5" customHeight="1">
      <c r="A37" s="112"/>
      <c r="B37" s="113"/>
      <c r="C37" s="114">
        <f>IF(A38="","",INDEX('TAKIM KAYIT'!$C$6:$C$305,MATCH(C38,'TAKIM KAYIT'!$C$6:$C$305,0)-1))</f>
      </c>
      <c r="D37" s="115">
        <f>IF(ISERROR(VLOOKUP($C37,'START LİSTE'!$B$6:$G$1006,2,0)),"",VLOOKUP($C37,'START LİSTE'!$B$6:$G$1006,2,0))</f>
      </c>
      <c r="E37" s="116">
        <f>IF(ISERROR(VLOOKUP($C37,'START LİSTE'!$B$6:$G$1006,4,0)),"",VLOOKUP($C37,'START LİSTE'!$B$6:$G$1006,4,0))</f>
      </c>
      <c r="F37" s="125">
        <f>IF(ISERROR(VLOOKUP($C37,'FERDİ SONUÇ'!$B$6:$H$819,6,0)),"",VLOOKUP($C37,'FERDİ SONUÇ'!$B$6:$H$819,6,0))</f>
      </c>
      <c r="G37" s="122" t="str">
        <f>IF(OR(E37="",F37="DQ",F37="DNF",F37="DNS",F37=""),"-",VLOOKUP(C37,'FERDİ SONUÇ'!$B$6:$H$819,7,0))</f>
        <v>-</v>
      </c>
      <c r="H37" s="118"/>
    </row>
    <row r="38" spans="1:8" s="120" customFormat="1" ht="19.5" customHeight="1">
      <c r="A38" s="112">
        <f>IF(ISERROR(SMALL('TAKIM KAYIT'!$A$6:$A$305,7)),"",SMALL('TAKIM KAYIT'!$A$6:$A$305,7))</f>
      </c>
      <c r="B38" s="113">
        <f>IF(A38="","",VLOOKUP(A38,'TAKIM KAYIT'!$A$6:$J$305,2,FALSE))</f>
      </c>
      <c r="C38" s="114">
        <f>IF(A38="","",VLOOKUP(A38,'TAKIM KAYIT'!$A$6:$J$305,3,FALSE))</f>
      </c>
      <c r="D38" s="115">
        <f>IF(ISERROR(VLOOKUP($C38,'START LİSTE'!$B$6:$G$1006,2,0)),"",VLOOKUP($C38,'START LİSTE'!$B$6:$G$1006,2,0))</f>
      </c>
      <c r="E38" s="116">
        <f>IF(ISERROR(VLOOKUP($C38,'START LİSTE'!$B$6:$G$1006,4,0)),"",VLOOKUP($C38,'START LİSTE'!$B$6:$G$1006,4,0))</f>
      </c>
      <c r="F38" s="125">
        <f>IF(ISERROR(VLOOKUP($C38,'FERDİ SONUÇ'!$B$6:$H$819,6,0)),"",VLOOKUP($C38,'FERDİ SONUÇ'!$B$6:$H$819,6,0))</f>
      </c>
      <c r="G38" s="122" t="str">
        <f>IF(OR(E38="",F38="DQ",F38="DNF",F38="DNS",F38=""),"-",VLOOKUP(C38,'FERDİ SONUÇ'!$B$6:$H$819,7,0))</f>
        <v>-</v>
      </c>
      <c r="H38" s="118">
        <f>IF(A38="","",VLOOKUP(A38,'TAKIM KAYIT'!$A$6:$K$305,10,FALSE))</f>
      </c>
    </row>
    <row r="39" spans="1:8" s="120" customFormat="1" ht="19.5" customHeight="1">
      <c r="A39" s="112"/>
      <c r="B39" s="113"/>
      <c r="C39" s="114">
        <f>IF(A38="","",INDEX('TAKIM KAYIT'!$C$6:$C$305,MATCH(C38,'TAKIM KAYIT'!$C$6:$C$305,0)+1))</f>
      </c>
      <c r="D39" s="115">
        <f>IF(ISERROR(VLOOKUP($C39,'START LİSTE'!$B$6:$G$1006,2,0)),"",VLOOKUP($C39,'START LİSTE'!$B$6:$G$1006,2,0))</f>
      </c>
      <c r="E39" s="116">
        <f>IF(ISERROR(VLOOKUP($C39,'START LİSTE'!$B$6:$G$1006,4,0)),"",VLOOKUP($C39,'START LİSTE'!$B$6:$G$1006,4,0))</f>
      </c>
      <c r="F39" s="125">
        <f>IF(ISERROR(VLOOKUP($C39,'FERDİ SONUÇ'!$B$6:$H$819,6,0)),"",VLOOKUP($C39,'FERDİ SONUÇ'!$B$6:$H$819,6,0))</f>
      </c>
      <c r="G39" s="122" t="str">
        <f>IF(OR(E39="",F39="DQ",F39="DNF",F39="DNS",F39=""),"-",VLOOKUP(C39,'FERDİ SONUÇ'!$B$6:$H$819,7,0))</f>
        <v>-</v>
      </c>
      <c r="H39" s="118"/>
    </row>
    <row r="40" spans="1:8" s="120" customFormat="1" ht="19.5" customHeight="1">
      <c r="A40" s="112"/>
      <c r="B40" s="113"/>
      <c r="C40" s="114">
        <f>IF(A38="","",INDEX('TAKIM KAYIT'!$C$6:$C$305,MATCH(C38,'TAKIM KAYIT'!$C$6:$C$305,0)+2))</f>
      </c>
      <c r="D40" s="115">
        <f>IF(ISERROR(VLOOKUP($C40,'START LİSTE'!$B$6:$G$1006,2,0)),"",VLOOKUP($C40,'START LİSTE'!$B$6:$G$1006,2,0))</f>
      </c>
      <c r="E40" s="116">
        <f>IF(ISERROR(VLOOKUP($C40,'START LİSTE'!$B$6:$G$1006,4,0)),"",VLOOKUP($C40,'START LİSTE'!$B$6:$G$1006,4,0))</f>
      </c>
      <c r="F40" s="125">
        <f>IF(ISERROR(VLOOKUP($C40,'FERDİ SONUÇ'!$B$6:$H$819,6,0)),"",VLOOKUP($C40,'FERDİ SONUÇ'!$B$6:$H$819,6,0))</f>
      </c>
      <c r="G40" s="122" t="str">
        <f>IF(OR(E40="",F40="DQ",F40="DNF",F40="DNS",F40=""),"-",VLOOKUP(C40,'FERDİ SONUÇ'!$B$6:$H$819,7,0))</f>
        <v>-</v>
      </c>
      <c r="H40" s="118"/>
    </row>
    <row r="41" spans="1:8" s="120" customFormat="1" ht="19.5" customHeight="1">
      <c r="A41" s="104"/>
      <c r="B41" s="105"/>
      <c r="C41" s="106">
        <f>IF(A43="","",INDEX('TAKIM KAYIT'!$C$6:$C$305,MATCH(C43,'TAKIM KAYIT'!$C$6:$C$305,0)-2))</f>
      </c>
      <c r="D41" s="119">
        <f>IF(ISERROR(VLOOKUP($C41,'START LİSTE'!$B$6:$G$1006,2,0)),"",VLOOKUP($C41,'START LİSTE'!$B$6:$G$1006,2,0))</f>
      </c>
      <c r="E41" s="108">
        <f>IF(ISERROR(VLOOKUP($C41,'START LİSTE'!$B$6:$G$1006,4,0)),"",VLOOKUP($C41,'START LİSTE'!$B$6:$G$1006,4,0))</f>
      </c>
      <c r="F41" s="124">
        <f>IF(ISERROR(VLOOKUP($C41,'FERDİ SONUÇ'!$B$6:$H$819,6,0)),"",VLOOKUP($C41,'FERDİ SONUÇ'!$B$6:$H$819,6,0))</f>
      </c>
      <c r="G41" s="121" t="str">
        <f>IF(OR(E41="",F41="DQ",F41="DNF",F41="DNS",F41=""),"-",VLOOKUP(C41,'FERDİ SONUÇ'!$B$6:$H$819,7,0))</f>
        <v>-</v>
      </c>
      <c r="H41" s="110"/>
    </row>
    <row r="42" spans="1:8" s="120" customFormat="1" ht="19.5" customHeight="1">
      <c r="A42" s="112"/>
      <c r="B42" s="113"/>
      <c r="C42" s="114">
        <f>IF(A43="","",INDEX('TAKIM KAYIT'!$C$6:$C$305,MATCH(C43,'TAKIM KAYIT'!$C$6:$C$305,0)-1))</f>
      </c>
      <c r="D42" s="115">
        <f>IF(ISERROR(VLOOKUP($C42,'START LİSTE'!$B$6:$G$1006,2,0)),"",VLOOKUP($C42,'START LİSTE'!$B$6:$G$1006,2,0))</f>
      </c>
      <c r="E42" s="116">
        <f>IF(ISERROR(VLOOKUP($C42,'START LİSTE'!$B$6:$G$1006,4,0)),"",VLOOKUP($C42,'START LİSTE'!$B$6:$G$1006,4,0))</f>
      </c>
      <c r="F42" s="125">
        <f>IF(ISERROR(VLOOKUP($C42,'FERDİ SONUÇ'!$B$6:$H$819,6,0)),"",VLOOKUP($C42,'FERDİ SONUÇ'!$B$6:$H$819,6,0))</f>
      </c>
      <c r="G42" s="122" t="str">
        <f>IF(OR(E42="",F42="DQ",F42="DNF",F42="DNS",F42=""),"-",VLOOKUP(C42,'FERDİ SONUÇ'!$B$6:$H$819,7,0))</f>
        <v>-</v>
      </c>
      <c r="H42" s="118"/>
    </row>
    <row r="43" spans="1:8" s="120" customFormat="1" ht="19.5" customHeight="1">
      <c r="A43" s="112">
        <f>IF(ISERROR(SMALL('TAKIM KAYIT'!$A$6:$A$305,8)),"",SMALL('TAKIM KAYIT'!$A$6:$A$305,8))</f>
      </c>
      <c r="B43" s="113">
        <f>IF(A43="","",VLOOKUP(A43,'TAKIM KAYIT'!$A$6:$J$305,2,FALSE))</f>
      </c>
      <c r="C43" s="114">
        <f>IF(A43="","",VLOOKUP(A43,'TAKIM KAYIT'!$A$6:$J$305,3,FALSE))</f>
      </c>
      <c r="D43" s="115">
        <f>IF(ISERROR(VLOOKUP($C43,'START LİSTE'!$B$6:$G$1006,2,0)),"",VLOOKUP($C43,'START LİSTE'!$B$6:$G$1006,2,0))</f>
      </c>
      <c r="E43" s="116">
        <f>IF(ISERROR(VLOOKUP($C43,'START LİSTE'!$B$6:$G$1006,4,0)),"",VLOOKUP($C43,'START LİSTE'!$B$6:$G$1006,4,0))</f>
      </c>
      <c r="F43" s="125">
        <f>IF(ISERROR(VLOOKUP($C43,'FERDİ SONUÇ'!$B$6:$H$819,6,0)),"",VLOOKUP($C43,'FERDİ SONUÇ'!$B$6:$H$819,6,0))</f>
      </c>
      <c r="G43" s="122" t="str">
        <f>IF(OR(E43="",F43="DQ",F43="DNF",F43="DNS",F43=""),"-",VLOOKUP(C43,'FERDİ SONUÇ'!$B$6:$H$819,7,0))</f>
        <v>-</v>
      </c>
      <c r="H43" s="118">
        <f>IF(A43="","",VLOOKUP(A43,'TAKIM KAYIT'!$A$6:$K$305,10,FALSE))</f>
      </c>
    </row>
    <row r="44" spans="1:8" s="120" customFormat="1" ht="19.5" customHeight="1">
      <c r="A44" s="112"/>
      <c r="B44" s="113"/>
      <c r="C44" s="114">
        <f>IF(A43="","",INDEX('TAKIM KAYIT'!$C$6:$C$305,MATCH(C43,'TAKIM KAYIT'!$C$6:$C$305,0)+1))</f>
      </c>
      <c r="D44" s="115">
        <f>IF(ISERROR(VLOOKUP($C44,'START LİSTE'!$B$6:$G$1006,2,0)),"",VLOOKUP($C44,'START LİSTE'!$B$6:$G$1006,2,0))</f>
      </c>
      <c r="E44" s="116">
        <f>IF(ISERROR(VLOOKUP($C44,'START LİSTE'!$B$6:$G$1006,4,0)),"",VLOOKUP($C44,'START LİSTE'!$B$6:$G$1006,4,0))</f>
      </c>
      <c r="F44" s="125">
        <f>IF(ISERROR(VLOOKUP($C44,'FERDİ SONUÇ'!$B$6:$H$819,6,0)),"",VLOOKUP($C44,'FERDİ SONUÇ'!$B$6:$H$819,6,0))</f>
      </c>
      <c r="G44" s="122" t="str">
        <f>IF(OR(E44="",F44="DQ",F44="DNF",F44="DNS",F44=""),"-",VLOOKUP(C44,'FERDİ SONUÇ'!$B$6:$H$819,7,0))</f>
        <v>-</v>
      </c>
      <c r="H44" s="118"/>
    </row>
    <row r="45" spans="1:8" s="120" customFormat="1" ht="19.5" customHeight="1">
      <c r="A45" s="112"/>
      <c r="B45" s="113"/>
      <c r="C45" s="114">
        <f>IF(A43="","",INDEX('TAKIM KAYIT'!$C$6:$C$305,MATCH(C43,'TAKIM KAYIT'!$C$6:$C$305,0)+2))</f>
      </c>
      <c r="D45" s="115">
        <f>IF(ISERROR(VLOOKUP($C45,'START LİSTE'!$B$6:$G$1006,2,0)),"",VLOOKUP($C45,'START LİSTE'!$B$6:$G$1006,2,0))</f>
      </c>
      <c r="E45" s="116">
        <f>IF(ISERROR(VLOOKUP($C45,'START LİSTE'!$B$6:$G$1006,4,0)),"",VLOOKUP($C45,'START LİSTE'!$B$6:$G$1006,4,0))</f>
      </c>
      <c r="F45" s="125">
        <f>IF(ISERROR(VLOOKUP($C45,'FERDİ SONUÇ'!$B$6:$H$819,6,0)),"",VLOOKUP($C45,'FERDİ SONUÇ'!$B$6:$H$819,6,0))</f>
      </c>
      <c r="G45" s="122" t="str">
        <f>IF(OR(E45="",F45="DQ",F45="DNF",F45="DNS",F45=""),"-",VLOOKUP(C45,'FERDİ SONUÇ'!$B$6:$H$819,7,0))</f>
        <v>-</v>
      </c>
      <c r="H45" s="118"/>
    </row>
    <row r="46" spans="1:8" s="120" customFormat="1" ht="19.5" customHeight="1">
      <c r="A46" s="104"/>
      <c r="B46" s="105"/>
      <c r="C46" s="106">
        <f>IF(A48="","",INDEX('TAKIM KAYIT'!$C$6:$C$305,MATCH(C48,'TAKIM KAYIT'!$C$6:$C$305,0)-2))</f>
      </c>
      <c r="D46" s="119">
        <f>IF(ISERROR(VLOOKUP($C46,'START LİSTE'!$B$6:$G$1006,2,0)),"",VLOOKUP($C46,'START LİSTE'!$B$6:$G$1006,2,0))</f>
      </c>
      <c r="E46" s="108">
        <f>IF(ISERROR(VLOOKUP($C46,'START LİSTE'!$B$6:$G$1006,4,0)),"",VLOOKUP($C46,'START LİSTE'!$B$6:$G$1006,4,0))</f>
      </c>
      <c r="F46" s="124">
        <f>IF(ISERROR(VLOOKUP($C46,'FERDİ SONUÇ'!$B$6:$H$819,6,0)),"",VLOOKUP($C46,'FERDİ SONUÇ'!$B$6:$H$819,6,0))</f>
      </c>
      <c r="G46" s="121" t="str">
        <f>IF(OR(E46="",F46="DQ",F46="DNF",F46="DNS",F46=""),"-",VLOOKUP(C46,'FERDİ SONUÇ'!$B$6:$H$819,7,0))</f>
        <v>-</v>
      </c>
      <c r="H46" s="110"/>
    </row>
    <row r="47" spans="1:8" s="120" customFormat="1" ht="19.5" customHeight="1">
      <c r="A47" s="112"/>
      <c r="B47" s="113"/>
      <c r="C47" s="114">
        <f>IF(A48="","",INDEX('TAKIM KAYIT'!$C$6:$C$305,MATCH(C48,'TAKIM KAYIT'!$C$6:$C$305,0)-1))</f>
      </c>
      <c r="D47" s="115">
        <f>IF(ISERROR(VLOOKUP($C47,'START LİSTE'!$B$6:$G$1006,2,0)),"",VLOOKUP($C47,'START LİSTE'!$B$6:$G$1006,2,0))</f>
      </c>
      <c r="E47" s="116">
        <f>IF(ISERROR(VLOOKUP($C47,'START LİSTE'!$B$6:$G$1006,4,0)),"",VLOOKUP($C47,'START LİSTE'!$B$6:$G$1006,4,0))</f>
      </c>
      <c r="F47" s="125">
        <f>IF(ISERROR(VLOOKUP($C47,'FERDİ SONUÇ'!$B$6:$H$819,6,0)),"",VLOOKUP($C47,'FERDİ SONUÇ'!$B$6:$H$819,6,0))</f>
      </c>
      <c r="G47" s="122" t="str">
        <f>IF(OR(E47="",F47="DQ",F47="DNF",F47="DNS",F47=""),"-",VLOOKUP(C47,'FERDİ SONUÇ'!$B$6:$H$819,7,0))</f>
        <v>-</v>
      </c>
      <c r="H47" s="118"/>
    </row>
    <row r="48" spans="1:8" s="120" customFormat="1" ht="19.5" customHeight="1">
      <c r="A48" s="112">
        <f>IF(ISERROR(SMALL('TAKIM KAYIT'!$A$6:$A$305,9)),"",SMALL('TAKIM KAYIT'!$A$6:$A$305,9))</f>
      </c>
      <c r="B48" s="113">
        <f>IF(A48="","",VLOOKUP(A48,'TAKIM KAYIT'!$A$6:$J$305,2,FALSE))</f>
      </c>
      <c r="C48" s="114">
        <f>IF(A48="","",VLOOKUP(A48,'TAKIM KAYIT'!$A$6:$J$305,3,FALSE))</f>
      </c>
      <c r="D48" s="115">
        <f>IF(ISERROR(VLOOKUP($C48,'START LİSTE'!$B$6:$G$1006,2,0)),"",VLOOKUP($C48,'START LİSTE'!$B$6:$G$1006,2,0))</f>
      </c>
      <c r="E48" s="116">
        <f>IF(ISERROR(VLOOKUP($C48,'START LİSTE'!$B$6:$G$1006,4,0)),"",VLOOKUP($C48,'START LİSTE'!$B$6:$G$1006,4,0))</f>
      </c>
      <c r="F48" s="125">
        <f>IF(ISERROR(VLOOKUP($C48,'FERDİ SONUÇ'!$B$6:$H$819,6,0)),"",VLOOKUP($C48,'FERDİ SONUÇ'!$B$6:$H$819,6,0))</f>
      </c>
      <c r="G48" s="122" t="str">
        <f>IF(OR(E48="",F48="DQ",F48="DNF",F48="DNS",F48=""),"-",VLOOKUP(C48,'FERDİ SONUÇ'!$B$6:$H$819,7,0))</f>
        <v>-</v>
      </c>
      <c r="H48" s="118">
        <f>IF(A48="","",VLOOKUP(A48,'TAKIM KAYIT'!$A$6:$K$305,10,FALSE))</f>
      </c>
    </row>
    <row r="49" spans="1:8" s="120" customFormat="1" ht="19.5" customHeight="1">
      <c r="A49" s="112"/>
      <c r="B49" s="113"/>
      <c r="C49" s="114">
        <f>IF(A48="","",INDEX('TAKIM KAYIT'!$C$6:$C$305,MATCH(C48,'TAKIM KAYIT'!$C$6:$C$305,0)+1))</f>
      </c>
      <c r="D49" s="115">
        <f>IF(ISERROR(VLOOKUP($C49,'START LİSTE'!$B$6:$G$1006,2,0)),"",VLOOKUP($C49,'START LİSTE'!$B$6:$G$1006,2,0))</f>
      </c>
      <c r="E49" s="116">
        <f>IF(ISERROR(VLOOKUP($C49,'START LİSTE'!$B$6:$G$1006,4,0)),"",VLOOKUP($C49,'START LİSTE'!$B$6:$G$1006,4,0))</f>
      </c>
      <c r="F49" s="125">
        <f>IF(ISERROR(VLOOKUP($C49,'FERDİ SONUÇ'!$B$6:$H$819,6,0)),"",VLOOKUP($C49,'FERDİ SONUÇ'!$B$6:$H$819,6,0))</f>
      </c>
      <c r="G49" s="122" t="str">
        <f>IF(OR(E49="",F49="DQ",F49="DNF",F49="DNS",F49=""),"-",VLOOKUP(C49,'FERDİ SONUÇ'!$B$6:$H$819,7,0))</f>
        <v>-</v>
      </c>
      <c r="H49" s="118"/>
    </row>
    <row r="50" spans="1:8" s="120" customFormat="1" ht="19.5" customHeight="1">
      <c r="A50" s="112"/>
      <c r="B50" s="113"/>
      <c r="C50" s="114">
        <f>IF(A48="","",INDEX('TAKIM KAYIT'!$C$6:$C$305,MATCH(C48,'TAKIM KAYIT'!$C$6:$C$305,0)+2))</f>
      </c>
      <c r="D50" s="115">
        <f>IF(ISERROR(VLOOKUP($C50,'START LİSTE'!$B$6:$G$1006,2,0)),"",VLOOKUP($C50,'START LİSTE'!$B$6:$G$1006,2,0))</f>
      </c>
      <c r="E50" s="116">
        <f>IF(ISERROR(VLOOKUP($C50,'START LİSTE'!$B$6:$G$1006,4,0)),"",VLOOKUP($C50,'START LİSTE'!$B$6:$G$1006,4,0))</f>
      </c>
      <c r="F50" s="125">
        <f>IF(ISERROR(VLOOKUP($C50,'FERDİ SONUÇ'!$B$6:$H$819,6,0)),"",VLOOKUP($C50,'FERDİ SONUÇ'!$B$6:$H$819,6,0))</f>
      </c>
      <c r="G50" s="122" t="str">
        <f>IF(OR(E50="",F50="DQ",F50="DNF",F50="DNS",F50=""),"-",VLOOKUP(C50,'FERDİ SONUÇ'!$B$6:$H$819,7,0))</f>
        <v>-</v>
      </c>
      <c r="H50" s="118"/>
    </row>
    <row r="51" spans="1:8" s="120" customFormat="1" ht="19.5" customHeight="1">
      <c r="A51" s="104"/>
      <c r="B51" s="105"/>
      <c r="C51" s="106">
        <f>IF(A53="","",INDEX('TAKIM KAYIT'!$C$6:$C$305,MATCH(C53,'TAKIM KAYIT'!$C$6:$C$305,0)-2))</f>
      </c>
      <c r="D51" s="119">
        <f>IF(ISERROR(VLOOKUP($C51,'START LİSTE'!$B$6:$G$1006,2,0)),"",VLOOKUP($C51,'START LİSTE'!$B$6:$G$1006,2,0))</f>
      </c>
      <c r="E51" s="108">
        <f>IF(ISERROR(VLOOKUP($C51,'START LİSTE'!$B$6:$G$1006,4,0)),"",VLOOKUP($C51,'START LİSTE'!$B$6:$G$1006,4,0))</f>
      </c>
      <c r="F51" s="124">
        <f>IF(ISERROR(VLOOKUP($C51,'FERDİ SONUÇ'!$B$6:$H$819,6,0)),"",VLOOKUP($C51,'FERDİ SONUÇ'!$B$6:$H$819,6,0))</f>
      </c>
      <c r="G51" s="121" t="str">
        <f>IF(OR(E51="",F51="DQ",F51="DNF",F51="DNS",F51=""),"-",VLOOKUP(C51,'FERDİ SONUÇ'!$B$6:$H$819,7,0))</f>
        <v>-</v>
      </c>
      <c r="H51" s="110"/>
    </row>
    <row r="52" spans="1:8" s="120" customFormat="1" ht="19.5" customHeight="1">
      <c r="A52" s="112"/>
      <c r="B52" s="113"/>
      <c r="C52" s="114">
        <f>IF(A53="","",INDEX('TAKIM KAYIT'!$C$6:$C$305,MATCH(C53,'TAKIM KAYIT'!$C$6:$C$305,0)-1))</f>
      </c>
      <c r="D52" s="115">
        <f>IF(ISERROR(VLOOKUP($C52,'START LİSTE'!$B$6:$G$1006,2,0)),"",VLOOKUP($C52,'START LİSTE'!$B$6:$G$1006,2,0))</f>
      </c>
      <c r="E52" s="116">
        <f>IF(ISERROR(VLOOKUP($C52,'START LİSTE'!$B$6:$G$1006,4,0)),"",VLOOKUP($C52,'START LİSTE'!$B$6:$G$1006,4,0))</f>
      </c>
      <c r="F52" s="125">
        <f>IF(ISERROR(VLOOKUP($C52,'FERDİ SONUÇ'!$B$6:$H$819,6,0)),"",VLOOKUP($C52,'FERDİ SONUÇ'!$B$6:$H$819,6,0))</f>
      </c>
      <c r="G52" s="122" t="str">
        <f>IF(OR(E52="",F52="DQ",F52="DNF",F52="DNS",F52=""),"-",VLOOKUP(C52,'FERDİ SONUÇ'!$B$6:$H$819,7,0))</f>
        <v>-</v>
      </c>
      <c r="H52" s="118"/>
    </row>
    <row r="53" spans="1:8" s="120" customFormat="1" ht="19.5" customHeight="1">
      <c r="A53" s="112">
        <f>IF(ISERROR(SMALL('TAKIM KAYIT'!$A$6:$A$305,10)),"",SMALL('TAKIM KAYIT'!$A$6:$A$305,10))</f>
      </c>
      <c r="B53" s="113">
        <f>IF(A53="","",VLOOKUP(A53,'TAKIM KAYIT'!$A$6:$J$305,2,FALSE))</f>
      </c>
      <c r="C53" s="114">
        <f>IF(A53="","",VLOOKUP(A53,'TAKIM KAYIT'!$A$6:$J$305,3,FALSE))</f>
      </c>
      <c r="D53" s="115">
        <f>IF(ISERROR(VLOOKUP($C53,'START LİSTE'!$B$6:$G$1006,2,0)),"",VLOOKUP($C53,'START LİSTE'!$B$6:$G$1006,2,0))</f>
      </c>
      <c r="E53" s="116">
        <f>IF(ISERROR(VLOOKUP($C53,'START LİSTE'!$B$6:$G$1006,4,0)),"",VLOOKUP($C53,'START LİSTE'!$B$6:$G$1006,4,0))</f>
      </c>
      <c r="F53" s="125">
        <f>IF(ISERROR(VLOOKUP($C53,'FERDİ SONUÇ'!$B$6:$H$819,6,0)),"",VLOOKUP($C53,'FERDİ SONUÇ'!$B$6:$H$819,6,0))</f>
      </c>
      <c r="G53" s="122" t="str">
        <f>IF(OR(E53="",F53="DQ",F53="DNF",F53="DNS",F53=""),"-",VLOOKUP(C53,'FERDİ SONUÇ'!$B$6:$H$819,7,0))</f>
        <v>-</v>
      </c>
      <c r="H53" s="118">
        <f>IF(A53="","",VLOOKUP(A53,'TAKIM KAYIT'!$A$6:$K$305,10,FALSE))</f>
      </c>
    </row>
    <row r="54" spans="1:8" s="120" customFormat="1" ht="19.5" customHeight="1">
      <c r="A54" s="112"/>
      <c r="B54" s="113"/>
      <c r="C54" s="114">
        <f>IF(A53="","",INDEX('TAKIM KAYIT'!$C$6:$C$305,MATCH(C53,'TAKIM KAYIT'!$C$6:$C$305,0)+1))</f>
      </c>
      <c r="D54" s="115">
        <f>IF(ISERROR(VLOOKUP($C54,'START LİSTE'!$B$6:$G$1006,2,0)),"",VLOOKUP($C54,'START LİSTE'!$B$6:$G$1006,2,0))</f>
      </c>
      <c r="E54" s="116">
        <f>IF(ISERROR(VLOOKUP($C54,'START LİSTE'!$B$6:$G$1006,4,0)),"",VLOOKUP($C54,'START LİSTE'!$B$6:$G$1006,4,0))</f>
      </c>
      <c r="F54" s="125">
        <f>IF(ISERROR(VLOOKUP($C54,'FERDİ SONUÇ'!$B$6:$H$819,6,0)),"",VLOOKUP($C54,'FERDİ SONUÇ'!$B$6:$H$819,6,0))</f>
      </c>
      <c r="G54" s="122" t="str">
        <f>IF(OR(E54="",F54="DQ",F54="DNF",F54="DNS",F54=""),"-",VLOOKUP(C54,'FERDİ SONUÇ'!$B$6:$H$819,7,0))</f>
        <v>-</v>
      </c>
      <c r="H54" s="118"/>
    </row>
    <row r="55" spans="1:8" s="120" customFormat="1" ht="19.5" customHeight="1">
      <c r="A55" s="112"/>
      <c r="B55" s="113"/>
      <c r="C55" s="114">
        <f>IF(A53="","",INDEX('TAKIM KAYIT'!$C$6:$C$305,MATCH(C53,'TAKIM KAYIT'!$C$6:$C$305,0)+2))</f>
      </c>
      <c r="D55" s="115">
        <f>IF(ISERROR(VLOOKUP($C55,'START LİSTE'!$B$6:$G$1006,2,0)),"",VLOOKUP($C55,'START LİSTE'!$B$6:$G$1006,2,0))</f>
      </c>
      <c r="E55" s="116">
        <f>IF(ISERROR(VLOOKUP($C55,'START LİSTE'!$B$6:$G$1006,4,0)),"",VLOOKUP($C55,'START LİSTE'!$B$6:$G$1006,4,0))</f>
      </c>
      <c r="F55" s="125">
        <f>IF(ISERROR(VLOOKUP($C55,'FERDİ SONUÇ'!$B$6:$H$819,6,0)),"",VLOOKUP($C55,'FERDİ SONUÇ'!$B$6:$H$819,6,0))</f>
      </c>
      <c r="G55" s="122" t="str">
        <f>IF(OR(E55="",F55="DQ",F55="DNF",F55="DNS",F55=""),"-",VLOOKUP(C55,'FERDİ SONUÇ'!$B$6:$H$819,7,0))</f>
        <v>-</v>
      </c>
      <c r="H55" s="118"/>
    </row>
    <row r="56" spans="1:8" s="120" customFormat="1" ht="19.5" customHeight="1">
      <c r="A56" s="104"/>
      <c r="B56" s="105"/>
      <c r="C56" s="106">
        <f>IF(A58="","",INDEX('TAKIM KAYIT'!$C$6:$C$305,MATCH(C58,'TAKIM KAYIT'!$C$6:$C$305,0)-2))</f>
      </c>
      <c r="D56" s="119">
        <f>IF(ISERROR(VLOOKUP($C56,'START LİSTE'!$B$6:$G$1006,2,0)),"",VLOOKUP($C56,'START LİSTE'!$B$6:$G$1006,2,0))</f>
      </c>
      <c r="E56" s="108">
        <f>IF(ISERROR(VLOOKUP($C56,'START LİSTE'!$B$6:$G$1006,4,0)),"",VLOOKUP($C56,'START LİSTE'!$B$6:$G$1006,4,0))</f>
      </c>
      <c r="F56" s="124">
        <f>IF(ISERROR(VLOOKUP($C56,'FERDİ SONUÇ'!$B$6:$H$819,6,0)),"",VLOOKUP($C56,'FERDİ SONUÇ'!$B$6:$H$819,6,0))</f>
      </c>
      <c r="G56" s="121" t="str">
        <f>IF(OR(E56="",F56="DQ",F56="DNF",F56="DNS",F56=""),"-",VLOOKUP(C56,'FERDİ SONUÇ'!$B$6:$H$819,7,0))</f>
        <v>-</v>
      </c>
      <c r="H56" s="110"/>
    </row>
    <row r="57" spans="1:8" s="120" customFormat="1" ht="19.5" customHeight="1">
      <c r="A57" s="112"/>
      <c r="B57" s="113"/>
      <c r="C57" s="114">
        <f>IF(A58="","",INDEX('TAKIM KAYIT'!$C$6:$C$305,MATCH(C58,'TAKIM KAYIT'!$C$6:$C$305,0)-1))</f>
      </c>
      <c r="D57" s="115">
        <f>IF(ISERROR(VLOOKUP($C57,'START LİSTE'!$B$6:$G$1006,2,0)),"",VLOOKUP($C57,'START LİSTE'!$B$6:$G$1006,2,0))</f>
      </c>
      <c r="E57" s="116">
        <f>IF(ISERROR(VLOOKUP($C57,'START LİSTE'!$B$6:$G$1006,4,0)),"",VLOOKUP($C57,'START LİSTE'!$B$6:$G$1006,4,0))</f>
      </c>
      <c r="F57" s="125">
        <f>IF(ISERROR(VLOOKUP($C57,'FERDİ SONUÇ'!$B$6:$H$819,6,0)),"",VLOOKUP($C57,'FERDİ SONUÇ'!$B$6:$H$819,6,0))</f>
      </c>
      <c r="G57" s="122" t="str">
        <f>IF(OR(E57="",F57="DQ",F57="DNF",F57="DNS",F57=""),"-",VLOOKUP(C57,'FERDİ SONUÇ'!$B$6:$H$819,7,0))</f>
        <v>-</v>
      </c>
      <c r="H57" s="118"/>
    </row>
    <row r="58" spans="1:8" s="120" customFormat="1" ht="19.5" customHeight="1">
      <c r="A58" s="112">
        <f>IF(ISERROR(SMALL('TAKIM KAYIT'!$A$6:$A$305,11)),"",SMALL('TAKIM KAYIT'!$A$6:$A$305,11))</f>
      </c>
      <c r="B58" s="113">
        <f>IF(A58="","",VLOOKUP(A58,'TAKIM KAYIT'!$A$6:$J$305,2,FALSE))</f>
      </c>
      <c r="C58" s="114">
        <f>IF(A58="","",VLOOKUP(A58,'TAKIM KAYIT'!$A$6:$J$305,3,FALSE))</f>
      </c>
      <c r="D58" s="115">
        <f>IF(ISERROR(VLOOKUP($C58,'START LİSTE'!$B$6:$G$1006,2,0)),"",VLOOKUP($C58,'START LİSTE'!$B$6:$G$1006,2,0))</f>
      </c>
      <c r="E58" s="116">
        <f>IF(ISERROR(VLOOKUP($C58,'START LİSTE'!$B$6:$G$1006,4,0)),"",VLOOKUP($C58,'START LİSTE'!$B$6:$G$1006,4,0))</f>
      </c>
      <c r="F58" s="125">
        <f>IF(ISERROR(VLOOKUP($C58,'FERDİ SONUÇ'!$B$6:$H$819,6,0)),"",VLOOKUP($C58,'FERDİ SONUÇ'!$B$6:$H$819,6,0))</f>
      </c>
      <c r="G58" s="122" t="str">
        <f>IF(OR(E58="",F58="DQ",F58="DNF",F58="DNS",F58=""),"-",VLOOKUP(C58,'FERDİ SONUÇ'!$B$6:$H$819,7,0))</f>
        <v>-</v>
      </c>
      <c r="H58" s="118">
        <f>IF(A58="","",VLOOKUP(A58,'TAKIM KAYIT'!$A$6:$K$305,10,FALSE))</f>
      </c>
    </row>
    <row r="59" spans="1:8" s="120" customFormat="1" ht="19.5" customHeight="1">
      <c r="A59" s="112"/>
      <c r="B59" s="113"/>
      <c r="C59" s="114">
        <f>IF(A58="","",INDEX('TAKIM KAYIT'!$C$6:$C$305,MATCH(C58,'TAKIM KAYIT'!$C$6:$C$305,0)+1))</f>
      </c>
      <c r="D59" s="115">
        <f>IF(ISERROR(VLOOKUP($C59,'START LİSTE'!$B$6:$G$1006,2,0)),"",VLOOKUP($C59,'START LİSTE'!$B$6:$G$1006,2,0))</f>
      </c>
      <c r="E59" s="116">
        <f>IF(ISERROR(VLOOKUP($C59,'START LİSTE'!$B$6:$G$1006,4,0)),"",VLOOKUP($C59,'START LİSTE'!$B$6:$G$1006,4,0))</f>
      </c>
      <c r="F59" s="125">
        <f>IF(ISERROR(VLOOKUP($C59,'FERDİ SONUÇ'!$B$6:$H$819,6,0)),"",VLOOKUP($C59,'FERDİ SONUÇ'!$B$6:$H$819,6,0))</f>
      </c>
      <c r="G59" s="122" t="str">
        <f>IF(OR(E59="",F59="DQ",F59="DNF",F59="DNS",F59=""),"-",VLOOKUP(C59,'FERDİ SONUÇ'!$B$6:$H$819,7,0))</f>
        <v>-</v>
      </c>
      <c r="H59" s="118"/>
    </row>
    <row r="60" spans="1:8" s="120" customFormat="1" ht="19.5" customHeight="1">
      <c r="A60" s="112"/>
      <c r="B60" s="113"/>
      <c r="C60" s="114">
        <f>IF(A58="","",INDEX('TAKIM KAYIT'!$C$6:$C$305,MATCH(C58,'TAKIM KAYIT'!$C$6:$C$305,0)+2))</f>
      </c>
      <c r="D60" s="115">
        <f>IF(ISERROR(VLOOKUP($C60,'START LİSTE'!$B$6:$G$1006,2,0)),"",VLOOKUP($C60,'START LİSTE'!$B$6:$G$1006,2,0))</f>
      </c>
      <c r="E60" s="116">
        <f>IF(ISERROR(VLOOKUP($C60,'START LİSTE'!$B$6:$G$1006,4,0)),"",VLOOKUP($C60,'START LİSTE'!$B$6:$G$1006,4,0))</f>
      </c>
      <c r="F60" s="125">
        <f>IF(ISERROR(VLOOKUP($C60,'FERDİ SONUÇ'!$B$6:$H$819,6,0)),"",VLOOKUP($C60,'FERDİ SONUÇ'!$B$6:$H$819,6,0))</f>
      </c>
      <c r="G60" s="122" t="str">
        <f>IF(OR(E60="",F60="DQ",F60="DNF",F60="DNS",F60=""),"-",VLOOKUP(C60,'FERDİ SONUÇ'!$B$6:$H$819,7,0))</f>
        <v>-</v>
      </c>
      <c r="H60" s="118"/>
    </row>
    <row r="61" spans="1:8" s="120" customFormat="1" ht="19.5" customHeight="1">
      <c r="A61" s="104"/>
      <c r="B61" s="105"/>
      <c r="C61" s="106">
        <f>IF(A63="","",INDEX('TAKIM KAYIT'!$C$6:$C$305,MATCH(C63,'TAKIM KAYIT'!$C$6:$C$305,0)-2))</f>
      </c>
      <c r="D61" s="119">
        <f>IF(ISERROR(VLOOKUP($C61,'START LİSTE'!$B$6:$G$1006,2,0)),"",VLOOKUP($C61,'START LİSTE'!$B$6:$G$1006,2,0))</f>
      </c>
      <c r="E61" s="108">
        <f>IF(ISERROR(VLOOKUP($C61,'START LİSTE'!$B$6:$G$1006,4,0)),"",VLOOKUP($C61,'START LİSTE'!$B$6:$G$1006,4,0))</f>
      </c>
      <c r="F61" s="124">
        <f>IF(ISERROR(VLOOKUP($C61,'FERDİ SONUÇ'!$B$6:$H$819,6,0)),"",VLOOKUP($C61,'FERDİ SONUÇ'!$B$6:$H$819,6,0))</f>
      </c>
      <c r="G61" s="121" t="str">
        <f>IF(OR(E61="",F61="DQ",F61="DNF",F61="DNS",F61=""),"-",VLOOKUP(C61,'FERDİ SONUÇ'!$B$6:$H$819,7,0))</f>
        <v>-</v>
      </c>
      <c r="H61" s="110"/>
    </row>
    <row r="62" spans="1:8" s="120" customFormat="1" ht="19.5" customHeight="1">
      <c r="A62" s="112"/>
      <c r="B62" s="113"/>
      <c r="C62" s="114">
        <f>IF(A63="","",INDEX('TAKIM KAYIT'!$C$6:$C$305,MATCH(C63,'TAKIM KAYIT'!$C$6:$C$305,0)-1))</f>
      </c>
      <c r="D62" s="115">
        <f>IF(ISERROR(VLOOKUP($C62,'START LİSTE'!$B$6:$G$1006,2,0)),"",VLOOKUP($C62,'START LİSTE'!$B$6:$G$1006,2,0))</f>
      </c>
      <c r="E62" s="116">
        <f>IF(ISERROR(VLOOKUP($C62,'START LİSTE'!$B$6:$G$1006,4,0)),"",VLOOKUP($C62,'START LİSTE'!$B$6:$G$1006,4,0))</f>
      </c>
      <c r="F62" s="125">
        <f>IF(ISERROR(VLOOKUP($C62,'FERDİ SONUÇ'!$B$6:$H$819,6,0)),"",VLOOKUP($C62,'FERDİ SONUÇ'!$B$6:$H$819,6,0))</f>
      </c>
      <c r="G62" s="122" t="str">
        <f>IF(OR(E62="",F62="DQ",F62="DNF",F62="DNS",F62=""),"-",VLOOKUP(C62,'FERDİ SONUÇ'!$B$6:$H$819,7,0))</f>
        <v>-</v>
      </c>
      <c r="H62" s="118"/>
    </row>
    <row r="63" spans="1:8" s="120" customFormat="1" ht="19.5" customHeight="1">
      <c r="A63" s="112">
        <f>IF(ISERROR(SMALL('TAKIM KAYIT'!$A$6:$A$305,12)),"",SMALL('TAKIM KAYIT'!$A$6:$A$305,12))</f>
      </c>
      <c r="B63" s="113">
        <f>IF(A63="","",VLOOKUP(A63,'TAKIM KAYIT'!$A$6:$J$305,2,FALSE))</f>
      </c>
      <c r="C63" s="114">
        <f>IF(A63="","",VLOOKUP(A63,'TAKIM KAYIT'!$A$6:$J$305,3,FALSE))</f>
      </c>
      <c r="D63" s="115">
        <f>IF(ISERROR(VLOOKUP($C63,'START LİSTE'!$B$6:$G$1006,2,0)),"",VLOOKUP($C63,'START LİSTE'!$B$6:$G$1006,2,0))</f>
      </c>
      <c r="E63" s="116">
        <f>IF(ISERROR(VLOOKUP($C63,'START LİSTE'!$B$6:$G$1006,4,0)),"",VLOOKUP($C63,'START LİSTE'!$B$6:$G$1006,4,0))</f>
      </c>
      <c r="F63" s="125">
        <f>IF(ISERROR(VLOOKUP($C63,'FERDİ SONUÇ'!$B$6:$H$819,6,0)),"",VLOOKUP($C63,'FERDİ SONUÇ'!$B$6:$H$819,6,0))</f>
      </c>
      <c r="G63" s="122" t="str">
        <f>IF(OR(E63="",F63="DQ",F63="DNF",F63="DNS",F63=""),"-",VLOOKUP(C63,'FERDİ SONUÇ'!$B$6:$H$819,7,0))</f>
        <v>-</v>
      </c>
      <c r="H63" s="118">
        <f>IF(A63="","",VLOOKUP(A63,'TAKIM KAYIT'!$A$6:$K$305,10,FALSE))</f>
      </c>
    </row>
    <row r="64" spans="1:8" s="120" customFormat="1" ht="19.5" customHeight="1">
      <c r="A64" s="112"/>
      <c r="B64" s="113"/>
      <c r="C64" s="114">
        <f>IF(A63="","",INDEX('TAKIM KAYIT'!$C$6:$C$305,MATCH(C63,'TAKIM KAYIT'!$C$6:$C$305,0)+1))</f>
      </c>
      <c r="D64" s="115">
        <f>IF(ISERROR(VLOOKUP($C64,'START LİSTE'!$B$6:$G$1006,2,0)),"",VLOOKUP($C64,'START LİSTE'!$B$6:$G$1006,2,0))</f>
      </c>
      <c r="E64" s="116">
        <f>IF(ISERROR(VLOOKUP($C64,'START LİSTE'!$B$6:$G$1006,4,0)),"",VLOOKUP($C64,'START LİSTE'!$B$6:$G$1006,4,0))</f>
      </c>
      <c r="F64" s="125">
        <f>IF(ISERROR(VLOOKUP($C64,'FERDİ SONUÇ'!$B$6:$H$819,6,0)),"",VLOOKUP($C64,'FERDİ SONUÇ'!$B$6:$H$819,6,0))</f>
      </c>
      <c r="G64" s="122" t="str">
        <f>IF(OR(E64="",F64="DQ",F64="DNF",F64="DNS",F64=""),"-",VLOOKUP(C64,'FERDİ SONUÇ'!$B$6:$H$819,7,0))</f>
        <v>-</v>
      </c>
      <c r="H64" s="118"/>
    </row>
    <row r="65" spans="1:8" s="120" customFormat="1" ht="19.5" customHeight="1">
      <c r="A65" s="112"/>
      <c r="B65" s="113"/>
      <c r="C65" s="114">
        <f>IF(A63="","",INDEX('TAKIM KAYIT'!$C$6:$C$305,MATCH(C63,'TAKIM KAYIT'!$C$6:$C$305,0)+2))</f>
      </c>
      <c r="D65" s="115">
        <f>IF(ISERROR(VLOOKUP($C65,'START LİSTE'!$B$6:$G$1006,2,0)),"",VLOOKUP($C65,'START LİSTE'!$B$6:$G$1006,2,0))</f>
      </c>
      <c r="E65" s="116">
        <f>IF(ISERROR(VLOOKUP($C65,'START LİSTE'!$B$6:$G$1006,4,0)),"",VLOOKUP($C65,'START LİSTE'!$B$6:$G$1006,4,0))</f>
      </c>
      <c r="F65" s="125">
        <f>IF(ISERROR(VLOOKUP($C65,'FERDİ SONUÇ'!$B$6:$H$819,6,0)),"",VLOOKUP($C65,'FERDİ SONUÇ'!$B$6:$H$819,6,0))</f>
      </c>
      <c r="G65" s="122" t="str">
        <f>IF(OR(E65="",F65="DQ",F65="DNF",F65="DNS",F65=""),"-",VLOOKUP(C65,'FERDİ SONUÇ'!$B$6:$H$819,7,0))</f>
        <v>-</v>
      </c>
      <c r="H65" s="118"/>
    </row>
    <row r="66" spans="1:8" s="120" customFormat="1" ht="19.5" customHeight="1">
      <c r="A66" s="104"/>
      <c r="B66" s="105"/>
      <c r="C66" s="106">
        <f>IF(A68="","",INDEX('TAKIM KAYIT'!$C$6:$C$305,MATCH(C68,'TAKIM KAYIT'!$C$6:$C$305,0)-2))</f>
      </c>
      <c r="D66" s="119">
        <f>IF(ISERROR(VLOOKUP($C66,'START LİSTE'!$B$6:$G$1006,2,0)),"",VLOOKUP($C66,'START LİSTE'!$B$6:$G$1006,2,0))</f>
      </c>
      <c r="E66" s="108">
        <f>IF(ISERROR(VLOOKUP($C66,'START LİSTE'!$B$6:$G$1006,4,0)),"",VLOOKUP($C66,'START LİSTE'!$B$6:$G$1006,4,0))</f>
      </c>
      <c r="F66" s="124">
        <f>IF(ISERROR(VLOOKUP($C66,'FERDİ SONUÇ'!$B$6:$H$819,6,0)),"",VLOOKUP($C66,'FERDİ SONUÇ'!$B$6:$H$819,6,0))</f>
      </c>
      <c r="G66" s="121" t="str">
        <f>IF(OR(E66="",F66="DQ",F66="DNF",F66="DNS",F66=""),"-",VLOOKUP(C66,'FERDİ SONUÇ'!$B$6:$H$819,7,0))</f>
        <v>-</v>
      </c>
      <c r="H66" s="110"/>
    </row>
    <row r="67" spans="1:8" s="120" customFormat="1" ht="19.5" customHeight="1">
      <c r="A67" s="112"/>
      <c r="B67" s="113"/>
      <c r="C67" s="114">
        <f>IF(A68="","",INDEX('TAKIM KAYIT'!$C$6:$C$305,MATCH(C68,'TAKIM KAYIT'!$C$6:$C$305,0)-1))</f>
      </c>
      <c r="D67" s="115">
        <f>IF(ISERROR(VLOOKUP($C67,'START LİSTE'!$B$6:$G$1006,2,0)),"",VLOOKUP($C67,'START LİSTE'!$B$6:$G$1006,2,0))</f>
      </c>
      <c r="E67" s="116">
        <f>IF(ISERROR(VLOOKUP($C67,'START LİSTE'!$B$6:$G$1006,4,0)),"",VLOOKUP($C67,'START LİSTE'!$B$6:$G$1006,4,0))</f>
      </c>
      <c r="F67" s="125">
        <f>IF(ISERROR(VLOOKUP($C67,'FERDİ SONUÇ'!$B$6:$H$819,6,0)),"",VLOOKUP($C67,'FERDİ SONUÇ'!$B$6:$H$819,6,0))</f>
      </c>
      <c r="G67" s="122" t="str">
        <f>IF(OR(E67="",F67="DQ",F67="DNF",F67="DNS",F67=""),"-",VLOOKUP(C67,'FERDİ SONUÇ'!$B$6:$H$819,7,0))</f>
        <v>-</v>
      </c>
      <c r="H67" s="118"/>
    </row>
    <row r="68" spans="1:8" s="120" customFormat="1" ht="19.5" customHeight="1">
      <c r="A68" s="112">
        <f>IF(ISERROR(SMALL('TAKIM KAYIT'!$A$6:$A$305,13)),"",SMALL('TAKIM KAYIT'!$A$6:$A$305,13))</f>
      </c>
      <c r="B68" s="113">
        <f>IF(A68="","",VLOOKUP(A68,'TAKIM KAYIT'!$A$6:$J$305,2,FALSE))</f>
      </c>
      <c r="C68" s="114">
        <f>IF(A68="","",VLOOKUP(A68,'TAKIM KAYIT'!$A$6:$J$305,3,FALSE))</f>
      </c>
      <c r="D68" s="115">
        <f>IF(ISERROR(VLOOKUP($C68,'START LİSTE'!$B$6:$G$1006,2,0)),"",VLOOKUP($C68,'START LİSTE'!$B$6:$G$1006,2,0))</f>
      </c>
      <c r="E68" s="116">
        <f>IF(ISERROR(VLOOKUP($C68,'START LİSTE'!$B$6:$G$1006,4,0)),"",VLOOKUP($C68,'START LİSTE'!$B$6:$G$1006,4,0))</f>
      </c>
      <c r="F68" s="125">
        <f>IF(ISERROR(VLOOKUP($C68,'FERDİ SONUÇ'!$B$6:$H$819,6,0)),"",VLOOKUP($C68,'FERDİ SONUÇ'!$B$6:$H$819,6,0))</f>
      </c>
      <c r="G68" s="122" t="str">
        <f>IF(OR(E68="",F68="DQ",F68="DNF",F68="DNS",F68=""),"-",VLOOKUP(C68,'FERDİ SONUÇ'!$B$6:$H$819,7,0))</f>
        <v>-</v>
      </c>
      <c r="H68" s="118">
        <f>IF(A68="","",VLOOKUP(A68,'TAKIM KAYIT'!$A$6:$K$305,10,FALSE))</f>
      </c>
    </row>
    <row r="69" spans="1:8" s="120" customFormat="1" ht="19.5" customHeight="1">
      <c r="A69" s="112"/>
      <c r="B69" s="113"/>
      <c r="C69" s="114">
        <f>IF(A68="","",INDEX('TAKIM KAYIT'!$C$6:$C$305,MATCH(C68,'TAKIM KAYIT'!$C$6:$C$305,0)+1))</f>
      </c>
      <c r="D69" s="115">
        <f>IF(ISERROR(VLOOKUP($C69,'START LİSTE'!$B$6:$G$1006,2,0)),"",VLOOKUP($C69,'START LİSTE'!$B$6:$G$1006,2,0))</f>
      </c>
      <c r="E69" s="116">
        <f>IF(ISERROR(VLOOKUP($C69,'START LİSTE'!$B$6:$G$1006,4,0)),"",VLOOKUP($C69,'START LİSTE'!$B$6:$G$1006,4,0))</f>
      </c>
      <c r="F69" s="125">
        <f>IF(ISERROR(VLOOKUP($C69,'FERDİ SONUÇ'!$B$6:$H$819,6,0)),"",VLOOKUP($C69,'FERDİ SONUÇ'!$B$6:$H$819,6,0))</f>
      </c>
      <c r="G69" s="122" t="str">
        <f>IF(OR(E69="",F69="DQ",F69="DNF",F69="DNS",F69=""),"-",VLOOKUP(C69,'FERDİ SONUÇ'!$B$6:$H$819,7,0))</f>
        <v>-</v>
      </c>
      <c r="H69" s="118"/>
    </row>
    <row r="70" spans="1:8" s="120" customFormat="1" ht="19.5" customHeight="1">
      <c r="A70" s="112"/>
      <c r="B70" s="113"/>
      <c r="C70" s="114">
        <f>IF(A68="","",INDEX('TAKIM KAYIT'!$C$6:$C$305,MATCH(C68,'TAKIM KAYIT'!$C$6:$C$305,0)+2))</f>
      </c>
      <c r="D70" s="115">
        <f>IF(ISERROR(VLOOKUP($C70,'START LİSTE'!$B$6:$G$1006,2,0)),"",VLOOKUP($C70,'START LİSTE'!$B$6:$G$1006,2,0))</f>
      </c>
      <c r="E70" s="116">
        <f>IF(ISERROR(VLOOKUP($C70,'START LİSTE'!$B$6:$G$1006,4,0)),"",VLOOKUP($C70,'START LİSTE'!$B$6:$G$1006,4,0))</f>
      </c>
      <c r="F70" s="125">
        <f>IF(ISERROR(VLOOKUP($C70,'FERDİ SONUÇ'!$B$6:$H$819,6,0)),"",VLOOKUP($C70,'FERDİ SONUÇ'!$B$6:$H$819,6,0))</f>
      </c>
      <c r="G70" s="122" t="str">
        <f>IF(OR(E70="",F70="DQ",F70="DNF",F70="DNS",F70=""),"-",VLOOKUP(C70,'FERDİ SONUÇ'!$B$6:$H$819,7,0))</f>
        <v>-</v>
      </c>
      <c r="H70" s="118"/>
    </row>
    <row r="71" spans="1:8" s="120" customFormat="1" ht="19.5" customHeight="1">
      <c r="A71" s="104"/>
      <c r="B71" s="105"/>
      <c r="C71" s="106">
        <f>IF(A73="","",INDEX('TAKIM KAYIT'!$C$6:$C$305,MATCH(C73,'TAKIM KAYIT'!$C$6:$C$305,0)-2))</f>
      </c>
      <c r="D71" s="119">
        <f>IF(ISERROR(VLOOKUP($C71,'START LİSTE'!$B$6:$G$1006,2,0)),"",VLOOKUP($C71,'START LİSTE'!$B$6:$G$1006,2,0))</f>
      </c>
      <c r="E71" s="108">
        <f>IF(ISERROR(VLOOKUP($C71,'START LİSTE'!$B$6:$G$1006,4,0)),"",VLOOKUP($C71,'START LİSTE'!$B$6:$G$1006,4,0))</f>
      </c>
      <c r="F71" s="124">
        <f>IF(ISERROR(VLOOKUP($C71,'FERDİ SONUÇ'!$B$6:$H$819,6,0)),"",VLOOKUP($C71,'FERDİ SONUÇ'!$B$6:$H$819,6,0))</f>
      </c>
      <c r="G71" s="121" t="str">
        <f>IF(OR(E71="",F71="DQ",F71="DNF",F71="DNS",F71=""),"-",VLOOKUP(C71,'FERDİ SONUÇ'!$B$6:$H$819,7,0))</f>
        <v>-</v>
      </c>
      <c r="H71" s="110"/>
    </row>
    <row r="72" spans="1:8" s="120" customFormat="1" ht="19.5" customHeight="1">
      <c r="A72" s="112"/>
      <c r="B72" s="113"/>
      <c r="C72" s="114">
        <f>IF(A73="","",INDEX('TAKIM KAYIT'!$C$6:$C$305,MATCH(C73,'TAKIM KAYIT'!$C$6:$C$305,0)-1))</f>
      </c>
      <c r="D72" s="115">
        <f>IF(ISERROR(VLOOKUP($C72,'START LİSTE'!$B$6:$G$1006,2,0)),"",VLOOKUP($C72,'START LİSTE'!$B$6:$G$1006,2,0))</f>
      </c>
      <c r="E72" s="116">
        <f>IF(ISERROR(VLOOKUP($C72,'START LİSTE'!$B$6:$G$1006,4,0)),"",VLOOKUP($C72,'START LİSTE'!$B$6:$G$1006,4,0))</f>
      </c>
      <c r="F72" s="125">
        <f>IF(ISERROR(VLOOKUP($C72,'FERDİ SONUÇ'!$B$6:$H$819,6,0)),"",VLOOKUP($C72,'FERDİ SONUÇ'!$B$6:$H$819,6,0))</f>
      </c>
      <c r="G72" s="122" t="str">
        <f>IF(OR(E72="",F72="DQ",F72="DNF",F72="DNS",F72=""),"-",VLOOKUP(C72,'FERDİ SONUÇ'!$B$6:$H$819,7,0))</f>
        <v>-</v>
      </c>
      <c r="H72" s="118"/>
    </row>
    <row r="73" spans="1:8" s="120" customFormat="1" ht="19.5" customHeight="1">
      <c r="A73" s="112">
        <f>IF(ISERROR(SMALL('TAKIM KAYIT'!$A$6:$A$305,14)),"",SMALL('TAKIM KAYIT'!$A$6:$A$305,14))</f>
      </c>
      <c r="B73" s="113">
        <f>IF(A73="","",VLOOKUP(A73,'TAKIM KAYIT'!$A$6:$J$305,2,FALSE))</f>
      </c>
      <c r="C73" s="114">
        <f>IF(A73="","",VLOOKUP(A73,'TAKIM KAYIT'!$A$6:$J$305,3,FALSE))</f>
      </c>
      <c r="D73" s="115">
        <f>IF(ISERROR(VLOOKUP($C73,'START LİSTE'!$B$6:$G$1006,2,0)),"",VLOOKUP($C73,'START LİSTE'!$B$6:$G$1006,2,0))</f>
      </c>
      <c r="E73" s="116">
        <f>IF(ISERROR(VLOOKUP($C73,'START LİSTE'!$B$6:$G$1006,4,0)),"",VLOOKUP($C73,'START LİSTE'!$B$6:$G$1006,4,0))</f>
      </c>
      <c r="F73" s="125">
        <f>IF(ISERROR(VLOOKUP($C73,'FERDİ SONUÇ'!$B$6:$H$819,6,0)),"",VLOOKUP($C73,'FERDİ SONUÇ'!$B$6:$H$819,6,0))</f>
      </c>
      <c r="G73" s="122" t="str">
        <f>IF(OR(E73="",F73="DQ",F73="DNF",F73="DNS",F73=""),"-",VLOOKUP(C73,'FERDİ SONUÇ'!$B$6:$H$819,7,0))</f>
        <v>-</v>
      </c>
      <c r="H73" s="118">
        <f>IF(A73="","",VLOOKUP(A73,'TAKIM KAYIT'!$A$6:$K$305,10,FALSE))</f>
      </c>
    </row>
    <row r="74" spans="1:8" s="120" customFormat="1" ht="19.5" customHeight="1">
      <c r="A74" s="112"/>
      <c r="B74" s="113"/>
      <c r="C74" s="114">
        <f>IF(A73="","",INDEX('TAKIM KAYIT'!$C$6:$C$305,MATCH(C73,'TAKIM KAYIT'!$C$6:$C$305,0)+1))</f>
      </c>
      <c r="D74" s="115">
        <f>IF(ISERROR(VLOOKUP($C74,'START LİSTE'!$B$6:$G$1006,2,0)),"",VLOOKUP($C74,'START LİSTE'!$B$6:$G$1006,2,0))</f>
      </c>
      <c r="E74" s="116">
        <f>IF(ISERROR(VLOOKUP($C74,'START LİSTE'!$B$6:$G$1006,4,0)),"",VLOOKUP($C74,'START LİSTE'!$B$6:$G$1006,4,0))</f>
      </c>
      <c r="F74" s="125">
        <f>IF(ISERROR(VLOOKUP($C74,'FERDİ SONUÇ'!$B$6:$H$819,6,0)),"",VLOOKUP($C74,'FERDİ SONUÇ'!$B$6:$H$819,6,0))</f>
      </c>
      <c r="G74" s="122" t="str">
        <f>IF(OR(E74="",F74="DQ",F74="DNF",F74="DNS",F74=""),"-",VLOOKUP(C74,'FERDİ SONUÇ'!$B$6:$H$819,7,0))</f>
        <v>-</v>
      </c>
      <c r="H74" s="118"/>
    </row>
    <row r="75" spans="1:8" s="120" customFormat="1" ht="19.5" customHeight="1">
      <c r="A75" s="112"/>
      <c r="B75" s="113"/>
      <c r="C75" s="114">
        <f>IF(A73="","",INDEX('TAKIM KAYIT'!$C$6:$C$305,MATCH(C73,'TAKIM KAYIT'!$C$6:$C$305,0)+2))</f>
      </c>
      <c r="D75" s="115">
        <f>IF(ISERROR(VLOOKUP($C75,'START LİSTE'!$B$6:$G$1006,2,0)),"",VLOOKUP($C75,'START LİSTE'!$B$6:$G$1006,2,0))</f>
      </c>
      <c r="E75" s="116">
        <f>IF(ISERROR(VLOOKUP($C75,'START LİSTE'!$B$6:$G$1006,4,0)),"",VLOOKUP($C75,'START LİSTE'!$B$6:$G$1006,4,0))</f>
      </c>
      <c r="F75" s="125">
        <f>IF(ISERROR(VLOOKUP($C75,'FERDİ SONUÇ'!$B$6:$H$819,6,0)),"",VLOOKUP($C75,'FERDİ SONUÇ'!$B$6:$H$819,6,0))</f>
      </c>
      <c r="G75" s="122" t="str">
        <f>IF(OR(E75="",F75="DQ",F75="DNF",F75="DNS",F75=""),"-",VLOOKUP(C75,'FERDİ SONUÇ'!$B$6:$H$819,7,0))</f>
        <v>-</v>
      </c>
      <c r="H75" s="118"/>
    </row>
    <row r="76" spans="1:8" s="120" customFormat="1" ht="19.5" customHeight="1">
      <c r="A76" s="104"/>
      <c r="B76" s="105"/>
      <c r="C76" s="106">
        <f>IF(A78="","",INDEX('TAKIM KAYIT'!$C$6:$C$305,MATCH(C78,'TAKIM KAYIT'!$C$6:$C$305,0)-2))</f>
      </c>
      <c r="D76" s="119">
        <f>IF(ISERROR(VLOOKUP($C76,'START LİSTE'!$B$6:$G$1006,2,0)),"",VLOOKUP($C76,'START LİSTE'!$B$6:$G$1006,2,0))</f>
      </c>
      <c r="E76" s="108">
        <f>IF(ISERROR(VLOOKUP($C76,'START LİSTE'!$B$6:$G$1006,4,0)),"",VLOOKUP($C76,'START LİSTE'!$B$6:$G$1006,4,0))</f>
      </c>
      <c r="F76" s="124">
        <f>IF(ISERROR(VLOOKUP($C76,'FERDİ SONUÇ'!$B$6:$H$819,6,0)),"",VLOOKUP($C76,'FERDİ SONUÇ'!$B$6:$H$819,6,0))</f>
      </c>
      <c r="G76" s="121" t="str">
        <f>IF(OR(E76="",F76="DQ",F76="DNF",F76="DNS",F76=""),"-",VLOOKUP(C76,'FERDİ SONUÇ'!$B$6:$H$819,7,0))</f>
        <v>-</v>
      </c>
      <c r="H76" s="110"/>
    </row>
    <row r="77" spans="1:8" s="120" customFormat="1" ht="19.5" customHeight="1">
      <c r="A77" s="112"/>
      <c r="B77" s="113"/>
      <c r="C77" s="114">
        <f>IF(A78="","",INDEX('TAKIM KAYIT'!$C$6:$C$305,MATCH(C78,'TAKIM KAYIT'!$C$6:$C$305,0)-1))</f>
      </c>
      <c r="D77" s="115">
        <f>IF(ISERROR(VLOOKUP($C77,'START LİSTE'!$B$6:$G$1006,2,0)),"",VLOOKUP($C77,'START LİSTE'!$B$6:$G$1006,2,0))</f>
      </c>
      <c r="E77" s="116">
        <f>IF(ISERROR(VLOOKUP($C77,'START LİSTE'!$B$6:$G$1006,4,0)),"",VLOOKUP($C77,'START LİSTE'!$B$6:$G$1006,4,0))</f>
      </c>
      <c r="F77" s="125">
        <f>IF(ISERROR(VLOOKUP($C77,'FERDİ SONUÇ'!$B$6:$H$819,6,0)),"",VLOOKUP($C77,'FERDİ SONUÇ'!$B$6:$H$819,6,0))</f>
      </c>
      <c r="G77" s="122" t="str">
        <f>IF(OR(E77="",F77="DQ",F77="DNF",F77="DNS",F77=""),"-",VLOOKUP(C77,'FERDİ SONUÇ'!$B$6:$H$819,7,0))</f>
        <v>-</v>
      </c>
      <c r="H77" s="118"/>
    </row>
    <row r="78" spans="1:8" s="120" customFormat="1" ht="19.5" customHeight="1">
      <c r="A78" s="112">
        <f>IF(ISERROR(SMALL('TAKIM KAYIT'!$A$6:$A$305,15)),"",SMALL('TAKIM KAYIT'!$A$6:$A$305,15))</f>
      </c>
      <c r="B78" s="113">
        <f>IF(A78="","",VLOOKUP(A78,'TAKIM KAYIT'!$A$6:$J$305,2,FALSE))</f>
      </c>
      <c r="C78" s="114">
        <f>IF(A78="","",VLOOKUP(A78,'TAKIM KAYIT'!$A$6:$J$305,3,FALSE))</f>
      </c>
      <c r="D78" s="115">
        <f>IF(ISERROR(VLOOKUP($C78,'START LİSTE'!$B$6:$G$1006,2,0)),"",VLOOKUP($C78,'START LİSTE'!$B$6:$G$1006,2,0))</f>
      </c>
      <c r="E78" s="116">
        <f>IF(ISERROR(VLOOKUP($C78,'START LİSTE'!$B$6:$G$1006,4,0)),"",VLOOKUP($C78,'START LİSTE'!$B$6:$G$1006,4,0))</f>
      </c>
      <c r="F78" s="125">
        <f>IF(ISERROR(VLOOKUP($C78,'FERDİ SONUÇ'!$B$6:$H$819,6,0)),"",VLOOKUP($C78,'FERDİ SONUÇ'!$B$6:$H$819,6,0))</f>
      </c>
      <c r="G78" s="122" t="str">
        <f>IF(OR(E78="",F78="DQ",F78="DNF",F78="DNS",F78=""),"-",VLOOKUP(C78,'FERDİ SONUÇ'!$B$6:$H$819,7,0))</f>
        <v>-</v>
      </c>
      <c r="H78" s="118">
        <f>IF(A78="","",VLOOKUP(A78,'TAKIM KAYIT'!$A$6:$K$305,10,FALSE))</f>
      </c>
    </row>
    <row r="79" spans="1:8" s="120" customFormat="1" ht="19.5" customHeight="1">
      <c r="A79" s="112"/>
      <c r="B79" s="113"/>
      <c r="C79" s="114">
        <f>IF(A78="","",INDEX('TAKIM KAYIT'!$C$6:$C$305,MATCH(C78,'TAKIM KAYIT'!$C$6:$C$305,0)+1))</f>
      </c>
      <c r="D79" s="115">
        <f>IF(ISERROR(VLOOKUP($C79,'START LİSTE'!$B$6:$G$1006,2,0)),"",VLOOKUP($C79,'START LİSTE'!$B$6:$G$1006,2,0))</f>
      </c>
      <c r="E79" s="116">
        <f>IF(ISERROR(VLOOKUP($C79,'START LİSTE'!$B$6:$G$1006,4,0)),"",VLOOKUP($C79,'START LİSTE'!$B$6:$G$1006,4,0))</f>
      </c>
      <c r="F79" s="125">
        <f>IF(ISERROR(VLOOKUP($C79,'FERDİ SONUÇ'!$B$6:$H$819,6,0)),"",VLOOKUP($C79,'FERDİ SONUÇ'!$B$6:$H$819,6,0))</f>
      </c>
      <c r="G79" s="122" t="str">
        <f>IF(OR(E79="",F79="DQ",F79="DNF",F79="DNS",F79=""),"-",VLOOKUP(C79,'FERDİ SONUÇ'!$B$6:$H$819,7,0))</f>
        <v>-</v>
      </c>
      <c r="H79" s="118"/>
    </row>
    <row r="80" spans="1:8" s="120" customFormat="1" ht="19.5" customHeight="1">
      <c r="A80" s="112"/>
      <c r="B80" s="113"/>
      <c r="C80" s="114">
        <f>IF(A78="","",INDEX('TAKIM KAYIT'!$C$6:$C$305,MATCH(C78,'TAKIM KAYIT'!$C$6:$C$305,0)+2))</f>
      </c>
      <c r="D80" s="115">
        <f>IF(ISERROR(VLOOKUP($C80,'START LİSTE'!$B$6:$G$1006,2,0)),"",VLOOKUP($C80,'START LİSTE'!$B$6:$G$1006,2,0))</f>
      </c>
      <c r="E80" s="116">
        <f>IF(ISERROR(VLOOKUP($C80,'START LİSTE'!$B$6:$G$1006,4,0)),"",VLOOKUP($C80,'START LİSTE'!$B$6:$G$1006,4,0))</f>
      </c>
      <c r="F80" s="125">
        <f>IF(ISERROR(VLOOKUP($C80,'FERDİ SONUÇ'!$B$6:$H$819,6,0)),"",VLOOKUP($C80,'FERDİ SONUÇ'!$B$6:$H$819,6,0))</f>
      </c>
      <c r="G80" s="122" t="str">
        <f>IF(OR(E80="",F80="DQ",F80="DNF",F80="DNS",F80=""),"-",VLOOKUP(C80,'FERDİ SONUÇ'!$B$6:$H$819,7,0))</f>
        <v>-</v>
      </c>
      <c r="H80" s="118"/>
    </row>
    <row r="81" spans="1:8" s="120" customFormat="1" ht="19.5" customHeight="1">
      <c r="A81" s="104"/>
      <c r="B81" s="105"/>
      <c r="C81" s="106">
        <f>IF(A83="","",INDEX('TAKIM KAYIT'!$C$6:$C$305,MATCH(C83,'TAKIM KAYIT'!$C$6:$C$305,0)-2))</f>
      </c>
      <c r="D81" s="119">
        <f>IF(ISERROR(VLOOKUP($C81,'START LİSTE'!$B$6:$G$1006,2,0)),"",VLOOKUP($C81,'START LİSTE'!$B$6:$G$1006,2,0))</f>
      </c>
      <c r="E81" s="108">
        <f>IF(ISERROR(VLOOKUP($C81,'START LİSTE'!$B$6:$G$1006,4,0)),"",VLOOKUP($C81,'START LİSTE'!$B$6:$G$1006,4,0))</f>
      </c>
      <c r="F81" s="124">
        <f>IF(ISERROR(VLOOKUP($C81,'FERDİ SONUÇ'!$B$6:$H$819,6,0)),"",VLOOKUP($C81,'FERDİ SONUÇ'!$B$6:$H$819,6,0))</f>
      </c>
      <c r="G81" s="121" t="str">
        <f>IF(OR(E81="",F81="DQ",F81="DNF",F81="DNS",F81=""),"-",VLOOKUP(C81,'FERDİ SONUÇ'!$B$6:$H$819,7,0))</f>
        <v>-</v>
      </c>
      <c r="H81" s="110"/>
    </row>
    <row r="82" spans="1:8" s="120" customFormat="1" ht="19.5" customHeight="1">
      <c r="A82" s="112"/>
      <c r="B82" s="113"/>
      <c r="C82" s="114">
        <f>IF(A83="","",INDEX('TAKIM KAYIT'!$C$6:$C$305,MATCH(C83,'TAKIM KAYIT'!$C$6:$C$305,0)-1))</f>
      </c>
      <c r="D82" s="115">
        <f>IF(ISERROR(VLOOKUP($C82,'START LİSTE'!$B$6:$G$1006,2,0)),"",VLOOKUP($C82,'START LİSTE'!$B$6:$G$1006,2,0))</f>
      </c>
      <c r="E82" s="116">
        <f>IF(ISERROR(VLOOKUP($C82,'START LİSTE'!$B$6:$G$1006,4,0)),"",VLOOKUP($C82,'START LİSTE'!$B$6:$G$1006,4,0))</f>
      </c>
      <c r="F82" s="125">
        <f>IF(ISERROR(VLOOKUP($C82,'FERDİ SONUÇ'!$B$6:$H$819,6,0)),"",VLOOKUP($C82,'FERDİ SONUÇ'!$B$6:$H$819,6,0))</f>
      </c>
      <c r="G82" s="122" t="str">
        <f>IF(OR(E82="",F82="DQ",F82="DNF",F82="DNS",F82=""),"-",VLOOKUP(C82,'FERDİ SONUÇ'!$B$6:$H$819,7,0))</f>
        <v>-</v>
      </c>
      <c r="H82" s="118"/>
    </row>
    <row r="83" spans="1:8" s="120" customFormat="1" ht="19.5" customHeight="1">
      <c r="A83" s="112">
        <f>IF(ISERROR(SMALL('TAKIM KAYIT'!$A$6:$A$305,16)),"",SMALL('TAKIM KAYIT'!$A$6:$A$305,16))</f>
      </c>
      <c r="B83" s="113">
        <f>IF(A83="","",VLOOKUP(A83,'TAKIM KAYIT'!$A$6:$J$305,2,FALSE))</f>
      </c>
      <c r="C83" s="114">
        <f>IF(A83="","",VLOOKUP(A83,'TAKIM KAYIT'!$A$6:$J$305,3,FALSE))</f>
      </c>
      <c r="D83" s="115">
        <f>IF(ISERROR(VLOOKUP($C83,'START LİSTE'!$B$6:$G$1006,2,0)),"",VLOOKUP($C83,'START LİSTE'!$B$6:$G$1006,2,0))</f>
      </c>
      <c r="E83" s="116">
        <f>IF(ISERROR(VLOOKUP($C83,'START LİSTE'!$B$6:$G$1006,4,0)),"",VLOOKUP($C83,'START LİSTE'!$B$6:$G$1006,4,0))</f>
      </c>
      <c r="F83" s="125">
        <f>IF(ISERROR(VLOOKUP($C83,'FERDİ SONUÇ'!$B$6:$H$819,6,0)),"",VLOOKUP($C83,'FERDİ SONUÇ'!$B$6:$H$819,6,0))</f>
      </c>
      <c r="G83" s="122" t="str">
        <f>IF(OR(E83="",F83="DQ",F83="DNF",F83="DNS",F83=""),"-",VLOOKUP(C83,'FERDİ SONUÇ'!$B$6:$H$819,7,0))</f>
        <v>-</v>
      </c>
      <c r="H83" s="118">
        <f>IF(A83="","",VLOOKUP(A83,'TAKIM KAYIT'!$A$6:$K$305,10,FALSE))</f>
      </c>
    </row>
    <row r="84" spans="1:8" s="120" customFormat="1" ht="19.5" customHeight="1">
      <c r="A84" s="112"/>
      <c r="B84" s="113"/>
      <c r="C84" s="114">
        <f>IF(A83="","",INDEX('TAKIM KAYIT'!$C$6:$C$305,MATCH(C83,'TAKIM KAYIT'!$C$6:$C$305,0)+1))</f>
      </c>
      <c r="D84" s="115">
        <f>IF(ISERROR(VLOOKUP($C84,'START LİSTE'!$B$6:$G$1006,2,0)),"",VLOOKUP($C84,'START LİSTE'!$B$6:$G$1006,2,0))</f>
      </c>
      <c r="E84" s="116">
        <f>IF(ISERROR(VLOOKUP($C84,'START LİSTE'!$B$6:$G$1006,4,0)),"",VLOOKUP($C84,'START LİSTE'!$B$6:$G$1006,4,0))</f>
      </c>
      <c r="F84" s="125">
        <f>IF(ISERROR(VLOOKUP($C84,'FERDİ SONUÇ'!$B$6:$H$819,6,0)),"",VLOOKUP($C84,'FERDİ SONUÇ'!$B$6:$H$819,6,0))</f>
      </c>
      <c r="G84" s="122" t="str">
        <f>IF(OR(E84="",F84="DQ",F84="DNF",F84="DNS",F84=""),"-",VLOOKUP(C84,'FERDİ SONUÇ'!$B$6:$H$819,7,0))</f>
        <v>-</v>
      </c>
      <c r="H84" s="118"/>
    </row>
    <row r="85" spans="1:8" s="120" customFormat="1" ht="19.5" customHeight="1">
      <c r="A85" s="112"/>
      <c r="B85" s="113"/>
      <c r="C85" s="114">
        <f>IF(A83="","",INDEX('TAKIM KAYIT'!$C$6:$C$305,MATCH(C83,'TAKIM KAYIT'!$C$6:$C$305,0)+2))</f>
      </c>
      <c r="D85" s="115">
        <f>IF(ISERROR(VLOOKUP($C85,'START LİSTE'!$B$6:$G$1006,2,0)),"",VLOOKUP($C85,'START LİSTE'!$B$6:$G$1006,2,0))</f>
      </c>
      <c r="E85" s="116">
        <f>IF(ISERROR(VLOOKUP($C85,'START LİSTE'!$B$6:$G$1006,4,0)),"",VLOOKUP($C85,'START LİSTE'!$B$6:$G$1006,4,0))</f>
      </c>
      <c r="F85" s="125">
        <f>IF(ISERROR(VLOOKUP($C85,'FERDİ SONUÇ'!$B$6:$H$819,6,0)),"",VLOOKUP($C85,'FERDİ SONUÇ'!$B$6:$H$819,6,0))</f>
      </c>
      <c r="G85" s="122" t="str">
        <f>IF(OR(E85="",F85="DQ",F85="DNF",F85="DNS",F85=""),"-",VLOOKUP(C85,'FERDİ SONUÇ'!$B$6:$H$819,7,0))</f>
        <v>-</v>
      </c>
      <c r="H85" s="118"/>
    </row>
    <row r="86" spans="1:8" s="120" customFormat="1" ht="19.5" customHeight="1">
      <c r="A86" s="104"/>
      <c r="B86" s="105"/>
      <c r="C86" s="106">
        <f>IF(A88="","",INDEX('TAKIM KAYIT'!$C$6:$C$305,MATCH(C88,'TAKIM KAYIT'!$C$6:$C$305,0)-2))</f>
      </c>
      <c r="D86" s="119">
        <f>IF(ISERROR(VLOOKUP($C86,'START LİSTE'!$B$6:$G$1006,2,0)),"",VLOOKUP($C86,'START LİSTE'!$B$6:$G$1006,2,0))</f>
      </c>
      <c r="E86" s="108">
        <f>IF(ISERROR(VLOOKUP($C86,'START LİSTE'!$B$6:$G$1006,4,0)),"",VLOOKUP($C86,'START LİSTE'!$B$6:$G$1006,4,0))</f>
      </c>
      <c r="F86" s="124">
        <f>IF(ISERROR(VLOOKUP($C86,'FERDİ SONUÇ'!$B$6:$H$819,6,0)),"",VLOOKUP($C86,'FERDİ SONUÇ'!$B$6:$H$819,6,0))</f>
      </c>
      <c r="G86" s="121" t="str">
        <f>IF(OR(E86="",F86="DQ",F86="DNF",F86="DNS",F86=""),"-",VLOOKUP(C86,'FERDİ SONUÇ'!$B$6:$H$819,7,0))</f>
        <v>-</v>
      </c>
      <c r="H86" s="110"/>
    </row>
    <row r="87" spans="1:8" s="120" customFormat="1" ht="19.5" customHeight="1">
      <c r="A87" s="112"/>
      <c r="B87" s="113"/>
      <c r="C87" s="114">
        <f>IF(A88="","",INDEX('TAKIM KAYIT'!$C$6:$C$305,MATCH(C88,'TAKIM KAYIT'!$C$6:$C$305,0)-1))</f>
      </c>
      <c r="D87" s="115">
        <f>IF(ISERROR(VLOOKUP($C87,'START LİSTE'!$B$6:$G$1006,2,0)),"",VLOOKUP($C87,'START LİSTE'!$B$6:$G$1006,2,0))</f>
      </c>
      <c r="E87" s="116">
        <f>IF(ISERROR(VLOOKUP($C87,'START LİSTE'!$B$6:$G$1006,4,0)),"",VLOOKUP($C87,'START LİSTE'!$B$6:$G$1006,4,0))</f>
      </c>
      <c r="F87" s="125">
        <f>IF(ISERROR(VLOOKUP($C87,'FERDİ SONUÇ'!$B$6:$H$819,6,0)),"",VLOOKUP($C87,'FERDİ SONUÇ'!$B$6:$H$819,6,0))</f>
      </c>
      <c r="G87" s="122" t="str">
        <f>IF(OR(E87="",F87="DQ",F87="DNF",F87="DNS",F87=""),"-",VLOOKUP(C87,'FERDİ SONUÇ'!$B$6:$H$819,7,0))</f>
        <v>-</v>
      </c>
      <c r="H87" s="118"/>
    </row>
    <row r="88" spans="1:8" s="120" customFormat="1" ht="19.5" customHeight="1">
      <c r="A88" s="112">
        <f>IF(ISERROR(SMALL('TAKIM KAYIT'!$A$6:$A$305,17)),"",SMALL('TAKIM KAYIT'!$A$6:$A$305,17))</f>
      </c>
      <c r="B88" s="113">
        <f>IF(A88="","",VLOOKUP(A88,'TAKIM KAYIT'!$A$6:$J$305,2,FALSE))</f>
      </c>
      <c r="C88" s="114">
        <f>IF(A88="","",VLOOKUP(A88,'TAKIM KAYIT'!$A$6:$J$305,3,FALSE))</f>
      </c>
      <c r="D88" s="115">
        <f>IF(ISERROR(VLOOKUP($C88,'START LİSTE'!$B$6:$G$1006,2,0)),"",VLOOKUP($C88,'START LİSTE'!$B$6:$G$1006,2,0))</f>
      </c>
      <c r="E88" s="116">
        <f>IF(ISERROR(VLOOKUP($C88,'START LİSTE'!$B$6:$G$1006,4,0)),"",VLOOKUP($C88,'START LİSTE'!$B$6:$G$1006,4,0))</f>
      </c>
      <c r="F88" s="125">
        <f>IF(ISERROR(VLOOKUP($C88,'FERDİ SONUÇ'!$B$6:$H$819,6,0)),"",VLOOKUP($C88,'FERDİ SONUÇ'!$B$6:$H$819,6,0))</f>
      </c>
      <c r="G88" s="122" t="str">
        <f>IF(OR(E88="",F88="DQ",F88="DNF",F88="DNS",F88=""),"-",VLOOKUP(C88,'FERDİ SONUÇ'!$B$6:$H$819,7,0))</f>
        <v>-</v>
      </c>
      <c r="H88" s="118">
        <f>IF(A88="","",VLOOKUP(A88,'TAKIM KAYIT'!$A$6:$K$305,10,FALSE))</f>
      </c>
    </row>
    <row r="89" spans="1:8" s="120" customFormat="1" ht="19.5" customHeight="1">
      <c r="A89" s="112"/>
      <c r="B89" s="113"/>
      <c r="C89" s="114">
        <f>IF(A88="","",INDEX('TAKIM KAYIT'!$C$6:$C$305,MATCH(C88,'TAKIM KAYIT'!$C$6:$C$305,0)+1))</f>
      </c>
      <c r="D89" s="115">
        <f>IF(ISERROR(VLOOKUP($C89,'START LİSTE'!$B$6:$G$1006,2,0)),"",VLOOKUP($C89,'START LİSTE'!$B$6:$G$1006,2,0))</f>
      </c>
      <c r="E89" s="116">
        <f>IF(ISERROR(VLOOKUP($C89,'START LİSTE'!$B$6:$G$1006,4,0)),"",VLOOKUP($C89,'START LİSTE'!$B$6:$G$1006,4,0))</f>
      </c>
      <c r="F89" s="125">
        <f>IF(ISERROR(VLOOKUP($C89,'FERDİ SONUÇ'!$B$6:$H$819,6,0)),"",VLOOKUP($C89,'FERDİ SONUÇ'!$B$6:$H$819,6,0))</f>
      </c>
      <c r="G89" s="122" t="str">
        <f>IF(OR(E89="",F89="DQ",F89="DNF",F89="DNS",F89=""),"-",VLOOKUP(C89,'FERDİ SONUÇ'!$B$6:$H$819,7,0))</f>
        <v>-</v>
      </c>
      <c r="H89" s="118"/>
    </row>
    <row r="90" spans="1:8" s="120" customFormat="1" ht="19.5" customHeight="1">
      <c r="A90" s="112"/>
      <c r="B90" s="113"/>
      <c r="C90" s="114">
        <f>IF(A88="","",INDEX('TAKIM KAYIT'!$C$6:$C$305,MATCH(C88,'TAKIM KAYIT'!$C$6:$C$305,0)+2))</f>
      </c>
      <c r="D90" s="115">
        <f>IF(ISERROR(VLOOKUP($C90,'START LİSTE'!$B$6:$G$1006,2,0)),"",VLOOKUP($C90,'START LİSTE'!$B$6:$G$1006,2,0))</f>
      </c>
      <c r="E90" s="116">
        <f>IF(ISERROR(VLOOKUP($C90,'START LİSTE'!$B$6:$G$1006,4,0)),"",VLOOKUP($C90,'START LİSTE'!$B$6:$G$1006,4,0))</f>
      </c>
      <c r="F90" s="125">
        <f>IF(ISERROR(VLOOKUP($C90,'FERDİ SONUÇ'!$B$6:$H$819,6,0)),"",VLOOKUP($C90,'FERDİ SONUÇ'!$B$6:$H$819,6,0))</f>
      </c>
      <c r="G90" s="122" t="str">
        <f>IF(OR(E90="",F90="DQ",F90="DNF",F90="DNS",F90=""),"-",VLOOKUP(C90,'FERDİ SONUÇ'!$B$6:$H$819,7,0))</f>
        <v>-</v>
      </c>
      <c r="H90" s="118"/>
    </row>
    <row r="91" spans="1:8" s="120" customFormat="1" ht="19.5" customHeight="1">
      <c r="A91" s="104"/>
      <c r="B91" s="105"/>
      <c r="C91" s="106">
        <f>IF(A93="","",INDEX('TAKIM KAYIT'!$C$6:$C$305,MATCH(C93,'TAKIM KAYIT'!$C$6:$C$305,0)-2))</f>
      </c>
      <c r="D91" s="119">
        <f>IF(ISERROR(VLOOKUP($C91,'START LİSTE'!$B$6:$G$1006,2,0)),"",VLOOKUP($C91,'START LİSTE'!$B$6:$G$1006,2,0))</f>
      </c>
      <c r="E91" s="108">
        <f>IF(ISERROR(VLOOKUP($C91,'START LİSTE'!$B$6:$G$1006,4,0)),"",VLOOKUP($C91,'START LİSTE'!$B$6:$G$1006,4,0))</f>
      </c>
      <c r="F91" s="124">
        <f>IF(ISERROR(VLOOKUP($C91,'FERDİ SONUÇ'!$B$6:$H$819,6,0)),"",VLOOKUP($C91,'FERDİ SONUÇ'!$B$6:$H$819,6,0))</f>
      </c>
      <c r="G91" s="121" t="str">
        <f>IF(OR(E91="",F91="DQ",F91="DNF",F91="DNS",F91=""),"-",VLOOKUP(C91,'FERDİ SONUÇ'!$B$6:$H$819,7,0))</f>
        <v>-</v>
      </c>
      <c r="H91" s="110"/>
    </row>
    <row r="92" spans="1:8" s="120" customFormat="1" ht="19.5" customHeight="1">
      <c r="A92" s="112"/>
      <c r="B92" s="113"/>
      <c r="C92" s="114">
        <f>IF(A93="","",INDEX('TAKIM KAYIT'!$C$6:$C$305,MATCH(C93,'TAKIM KAYIT'!$C$6:$C$305,0)-1))</f>
      </c>
      <c r="D92" s="115">
        <f>IF(ISERROR(VLOOKUP($C92,'START LİSTE'!$B$6:$G$1006,2,0)),"",VLOOKUP($C92,'START LİSTE'!$B$6:$G$1006,2,0))</f>
      </c>
      <c r="E92" s="116">
        <f>IF(ISERROR(VLOOKUP($C92,'START LİSTE'!$B$6:$G$1006,4,0)),"",VLOOKUP($C92,'START LİSTE'!$B$6:$G$1006,4,0))</f>
      </c>
      <c r="F92" s="125">
        <f>IF(ISERROR(VLOOKUP($C92,'FERDİ SONUÇ'!$B$6:$H$819,6,0)),"",VLOOKUP($C92,'FERDİ SONUÇ'!$B$6:$H$819,6,0))</f>
      </c>
      <c r="G92" s="122" t="str">
        <f>IF(OR(E92="",F92="DQ",F92="DNF",F92="DNS",F92=""),"-",VLOOKUP(C92,'FERDİ SONUÇ'!$B$6:$H$819,7,0))</f>
        <v>-</v>
      </c>
      <c r="H92" s="118"/>
    </row>
    <row r="93" spans="1:8" s="120" customFormat="1" ht="19.5" customHeight="1">
      <c r="A93" s="112">
        <f>IF(ISERROR(SMALL('TAKIM KAYIT'!$A$6:$A$305,18)),"",SMALL('TAKIM KAYIT'!$A$6:$A$305,18))</f>
      </c>
      <c r="B93" s="113">
        <f>IF(A93="","",VLOOKUP(A93,'TAKIM KAYIT'!$A$6:$J$305,2,FALSE))</f>
      </c>
      <c r="C93" s="114">
        <f>IF(A93="","",VLOOKUP(A93,'TAKIM KAYIT'!$A$6:$J$305,3,FALSE))</f>
      </c>
      <c r="D93" s="115">
        <f>IF(ISERROR(VLOOKUP($C93,'START LİSTE'!$B$6:$G$1006,2,0)),"",VLOOKUP($C93,'START LİSTE'!$B$6:$G$1006,2,0))</f>
      </c>
      <c r="E93" s="116">
        <f>IF(ISERROR(VLOOKUP($C93,'START LİSTE'!$B$6:$G$1006,4,0)),"",VLOOKUP($C93,'START LİSTE'!$B$6:$G$1006,4,0))</f>
      </c>
      <c r="F93" s="125">
        <f>IF(ISERROR(VLOOKUP($C93,'FERDİ SONUÇ'!$B$6:$H$819,6,0)),"",VLOOKUP($C93,'FERDİ SONUÇ'!$B$6:$H$819,6,0))</f>
      </c>
      <c r="G93" s="122" t="str">
        <f>IF(OR(E93="",F93="DQ",F93="DNF",F93="DNS",F93=""),"-",VLOOKUP(C93,'FERDİ SONUÇ'!$B$6:$H$819,7,0))</f>
        <v>-</v>
      </c>
      <c r="H93" s="118">
        <f>IF(A93="","",VLOOKUP(A93,'TAKIM KAYIT'!$A$6:$K$305,10,FALSE))</f>
      </c>
    </row>
    <row r="94" spans="1:8" s="120" customFormat="1" ht="19.5" customHeight="1">
      <c r="A94" s="112"/>
      <c r="B94" s="113"/>
      <c r="C94" s="114">
        <f>IF(A93="","",INDEX('TAKIM KAYIT'!$C$6:$C$305,MATCH(C93,'TAKIM KAYIT'!$C$6:$C$305,0)+1))</f>
      </c>
      <c r="D94" s="115">
        <f>IF(ISERROR(VLOOKUP($C94,'START LİSTE'!$B$6:$G$1006,2,0)),"",VLOOKUP($C94,'START LİSTE'!$B$6:$G$1006,2,0))</f>
      </c>
      <c r="E94" s="116">
        <f>IF(ISERROR(VLOOKUP($C94,'START LİSTE'!$B$6:$G$1006,4,0)),"",VLOOKUP($C94,'START LİSTE'!$B$6:$G$1006,4,0))</f>
      </c>
      <c r="F94" s="125">
        <f>IF(ISERROR(VLOOKUP($C94,'FERDİ SONUÇ'!$B$6:$H$819,6,0)),"",VLOOKUP($C94,'FERDİ SONUÇ'!$B$6:$H$819,6,0))</f>
      </c>
      <c r="G94" s="122" t="str">
        <f>IF(OR(E94="",F94="DQ",F94="DNF",F94="DNS",F94=""),"-",VLOOKUP(C94,'FERDİ SONUÇ'!$B$6:$H$819,7,0))</f>
        <v>-</v>
      </c>
      <c r="H94" s="118"/>
    </row>
    <row r="95" spans="1:8" s="120" customFormat="1" ht="19.5" customHeight="1">
      <c r="A95" s="112"/>
      <c r="B95" s="113"/>
      <c r="C95" s="114">
        <f>IF(A93="","",INDEX('TAKIM KAYIT'!$C$6:$C$305,MATCH(C93,'TAKIM KAYIT'!$C$6:$C$305,0)+2))</f>
      </c>
      <c r="D95" s="115">
        <f>IF(ISERROR(VLOOKUP($C95,'START LİSTE'!$B$6:$G$1006,2,0)),"",VLOOKUP($C95,'START LİSTE'!$B$6:$G$1006,2,0))</f>
      </c>
      <c r="E95" s="116">
        <f>IF(ISERROR(VLOOKUP($C95,'START LİSTE'!$B$6:$G$1006,4,0)),"",VLOOKUP($C95,'START LİSTE'!$B$6:$G$1006,4,0))</f>
      </c>
      <c r="F95" s="125">
        <f>IF(ISERROR(VLOOKUP($C95,'FERDİ SONUÇ'!$B$6:$H$819,6,0)),"",VLOOKUP($C95,'FERDİ SONUÇ'!$B$6:$H$819,6,0))</f>
      </c>
      <c r="G95" s="122" t="str">
        <f>IF(OR(E95="",F95="DQ",F95="DNF",F95="DNS",F95=""),"-",VLOOKUP(C95,'FERDİ SONUÇ'!$B$6:$H$819,7,0))</f>
        <v>-</v>
      </c>
      <c r="H95" s="118"/>
    </row>
    <row r="96" spans="1:8" s="120" customFormat="1" ht="19.5" customHeight="1">
      <c r="A96" s="104"/>
      <c r="B96" s="105"/>
      <c r="C96" s="106">
        <f>IF(A98="","",INDEX('TAKIM KAYIT'!$C$6:$C$305,MATCH(C98,'TAKIM KAYIT'!$C$6:$C$305,0)-2))</f>
      </c>
      <c r="D96" s="119">
        <f>IF(ISERROR(VLOOKUP($C96,'START LİSTE'!$B$6:$G$1006,2,0)),"",VLOOKUP($C96,'START LİSTE'!$B$6:$G$1006,2,0))</f>
      </c>
      <c r="E96" s="108">
        <f>IF(ISERROR(VLOOKUP($C96,'START LİSTE'!$B$6:$G$1006,4,0)),"",VLOOKUP($C96,'START LİSTE'!$B$6:$G$1006,4,0))</f>
      </c>
      <c r="F96" s="124">
        <f>IF(ISERROR(VLOOKUP($C96,'FERDİ SONUÇ'!$B$6:$H$819,6,0)),"",VLOOKUP($C96,'FERDİ SONUÇ'!$B$6:$H$819,6,0))</f>
      </c>
      <c r="G96" s="121" t="str">
        <f>IF(OR(E96="",F96="DQ",F96="DNF",F96="DNS",F96=""),"-",VLOOKUP(C96,'FERDİ SONUÇ'!$B$6:$H$819,7,0))</f>
        <v>-</v>
      </c>
      <c r="H96" s="110"/>
    </row>
    <row r="97" spans="1:8" s="120" customFormat="1" ht="19.5" customHeight="1">
      <c r="A97" s="112"/>
      <c r="B97" s="113"/>
      <c r="C97" s="114">
        <f>IF(A98="","",INDEX('TAKIM KAYIT'!$C$6:$C$305,MATCH(C98,'TAKIM KAYIT'!$C$6:$C$305,0)-1))</f>
      </c>
      <c r="D97" s="115">
        <f>IF(ISERROR(VLOOKUP($C97,'START LİSTE'!$B$6:$G$1006,2,0)),"",VLOOKUP($C97,'START LİSTE'!$B$6:$G$1006,2,0))</f>
      </c>
      <c r="E97" s="116">
        <f>IF(ISERROR(VLOOKUP($C97,'START LİSTE'!$B$6:$G$1006,4,0)),"",VLOOKUP($C97,'START LİSTE'!$B$6:$G$1006,4,0))</f>
      </c>
      <c r="F97" s="125">
        <f>IF(ISERROR(VLOOKUP($C97,'FERDİ SONUÇ'!$B$6:$H$819,6,0)),"",VLOOKUP($C97,'FERDİ SONUÇ'!$B$6:$H$819,6,0))</f>
      </c>
      <c r="G97" s="122" t="str">
        <f>IF(OR(E97="",F97="DQ",F97="DNF",F97="DNS",F97=""),"-",VLOOKUP(C97,'FERDİ SONUÇ'!$B$6:$H$819,7,0))</f>
        <v>-</v>
      </c>
      <c r="H97" s="118"/>
    </row>
    <row r="98" spans="1:8" s="120" customFormat="1" ht="19.5" customHeight="1">
      <c r="A98" s="112">
        <f>IF(ISERROR(SMALL('TAKIM KAYIT'!$A$6:$A$305,19)),"",SMALL('TAKIM KAYIT'!$A$6:$A$305,19))</f>
      </c>
      <c r="B98" s="113">
        <f>IF(A98="","",VLOOKUP(A98,'TAKIM KAYIT'!$A$6:$J$305,2,FALSE))</f>
      </c>
      <c r="C98" s="114">
        <f>IF(A98="","",VLOOKUP(A98,'TAKIM KAYIT'!$A$6:$J$305,3,FALSE))</f>
      </c>
      <c r="D98" s="115">
        <f>IF(ISERROR(VLOOKUP($C98,'START LİSTE'!$B$6:$G$1006,2,0)),"",VLOOKUP($C98,'START LİSTE'!$B$6:$G$1006,2,0))</f>
      </c>
      <c r="E98" s="116">
        <f>IF(ISERROR(VLOOKUP($C98,'START LİSTE'!$B$6:$G$1006,4,0)),"",VLOOKUP($C98,'START LİSTE'!$B$6:$G$1006,4,0))</f>
      </c>
      <c r="F98" s="125">
        <f>IF(ISERROR(VLOOKUP($C98,'FERDİ SONUÇ'!$B$6:$H$819,6,0)),"",VLOOKUP($C98,'FERDİ SONUÇ'!$B$6:$H$819,6,0))</f>
      </c>
      <c r="G98" s="122" t="str">
        <f>IF(OR(E98="",F98="DQ",F98="DNF",F98="DNS",F98=""),"-",VLOOKUP(C98,'FERDİ SONUÇ'!$B$6:$H$819,7,0))</f>
        <v>-</v>
      </c>
      <c r="H98" s="118">
        <f>IF(A98="","",VLOOKUP(A98,'TAKIM KAYIT'!$A$6:$K$305,10,FALSE))</f>
      </c>
    </row>
    <row r="99" spans="1:8" s="120" customFormat="1" ht="19.5" customHeight="1">
      <c r="A99" s="112"/>
      <c r="B99" s="113"/>
      <c r="C99" s="114">
        <f>IF(A98="","",INDEX('TAKIM KAYIT'!$C$6:$C$305,MATCH(C98,'TAKIM KAYIT'!$C$6:$C$305,0)+1))</f>
      </c>
      <c r="D99" s="115">
        <f>IF(ISERROR(VLOOKUP($C99,'START LİSTE'!$B$6:$G$1006,2,0)),"",VLOOKUP($C99,'START LİSTE'!$B$6:$G$1006,2,0))</f>
      </c>
      <c r="E99" s="116">
        <f>IF(ISERROR(VLOOKUP($C99,'START LİSTE'!$B$6:$G$1006,4,0)),"",VLOOKUP($C99,'START LİSTE'!$B$6:$G$1006,4,0))</f>
      </c>
      <c r="F99" s="125">
        <f>IF(ISERROR(VLOOKUP($C99,'FERDİ SONUÇ'!$B$6:$H$819,6,0)),"",VLOOKUP($C99,'FERDİ SONUÇ'!$B$6:$H$819,6,0))</f>
      </c>
      <c r="G99" s="122" t="str">
        <f>IF(OR(E99="",F99="DQ",F99="DNF",F99="DNS",F99=""),"-",VLOOKUP(C99,'FERDİ SONUÇ'!$B$6:$H$819,7,0))</f>
        <v>-</v>
      </c>
      <c r="H99" s="118"/>
    </row>
    <row r="100" spans="1:8" s="120" customFormat="1" ht="19.5" customHeight="1">
      <c r="A100" s="112"/>
      <c r="B100" s="113"/>
      <c r="C100" s="114">
        <f>IF(A98="","",INDEX('TAKIM KAYIT'!$C$6:$C$305,MATCH(C98,'TAKIM KAYIT'!$C$6:$C$305,0)+2))</f>
      </c>
      <c r="D100" s="115">
        <f>IF(ISERROR(VLOOKUP($C100,'START LİSTE'!$B$6:$G$1006,2,0)),"",VLOOKUP($C100,'START LİSTE'!$B$6:$G$1006,2,0))</f>
      </c>
      <c r="E100" s="116">
        <f>IF(ISERROR(VLOOKUP($C100,'START LİSTE'!$B$6:$G$1006,4,0)),"",VLOOKUP($C100,'START LİSTE'!$B$6:$G$1006,4,0))</f>
      </c>
      <c r="F100" s="125">
        <f>IF(ISERROR(VLOOKUP($C100,'FERDİ SONUÇ'!$B$6:$H$819,6,0)),"",VLOOKUP($C100,'FERDİ SONUÇ'!$B$6:$H$819,6,0))</f>
      </c>
      <c r="G100" s="122" t="str">
        <f>IF(OR(E100="",F100="DQ",F100="DNF",F100="DNS",F100=""),"-",VLOOKUP(C100,'FERDİ SONUÇ'!$B$6:$H$819,7,0))</f>
        <v>-</v>
      </c>
      <c r="H100" s="118"/>
    </row>
    <row r="101" spans="1:8" s="120" customFormat="1" ht="19.5" customHeight="1">
      <c r="A101" s="104"/>
      <c r="B101" s="105"/>
      <c r="C101" s="106">
        <f>IF(A103="","",INDEX('TAKIM KAYIT'!$C$6:$C$305,MATCH(C103,'TAKIM KAYIT'!$C$6:$C$305,0)-2))</f>
      </c>
      <c r="D101" s="119">
        <f>IF(ISERROR(VLOOKUP($C101,'START LİSTE'!$B$6:$G$1006,2,0)),"",VLOOKUP($C101,'START LİSTE'!$B$6:$G$1006,2,0))</f>
      </c>
      <c r="E101" s="108">
        <f>IF(ISERROR(VLOOKUP($C101,'START LİSTE'!$B$6:$G$1006,4,0)),"",VLOOKUP($C101,'START LİSTE'!$B$6:$G$1006,4,0))</f>
      </c>
      <c r="F101" s="124">
        <f>IF(ISERROR(VLOOKUP($C101,'FERDİ SONUÇ'!$B$6:$H$819,6,0)),"",VLOOKUP($C101,'FERDİ SONUÇ'!$B$6:$H$819,6,0))</f>
      </c>
      <c r="G101" s="121" t="str">
        <f>IF(OR(E101="",F101="DQ",F101="DNF",F101="DNS",F101=""),"-",VLOOKUP(C101,'FERDİ SONUÇ'!$B$6:$H$819,7,0))</f>
        <v>-</v>
      </c>
      <c r="H101" s="110"/>
    </row>
    <row r="102" spans="1:8" s="120" customFormat="1" ht="19.5" customHeight="1">
      <c r="A102" s="112"/>
      <c r="B102" s="113"/>
      <c r="C102" s="114">
        <f>IF(A103="","",INDEX('TAKIM KAYIT'!$C$6:$C$305,MATCH(C103,'TAKIM KAYIT'!$C$6:$C$305,0)-1))</f>
      </c>
      <c r="D102" s="115">
        <f>IF(ISERROR(VLOOKUP($C102,'START LİSTE'!$B$6:$G$1006,2,0)),"",VLOOKUP($C102,'START LİSTE'!$B$6:$G$1006,2,0))</f>
      </c>
      <c r="E102" s="116">
        <f>IF(ISERROR(VLOOKUP($C102,'START LİSTE'!$B$6:$G$1006,4,0)),"",VLOOKUP($C102,'START LİSTE'!$B$6:$G$1006,4,0))</f>
      </c>
      <c r="F102" s="125">
        <f>IF(ISERROR(VLOOKUP($C102,'FERDİ SONUÇ'!$B$6:$H$819,6,0)),"",VLOOKUP($C102,'FERDİ SONUÇ'!$B$6:$H$819,6,0))</f>
      </c>
      <c r="G102" s="122" t="str">
        <f>IF(OR(E102="",F102="DQ",F102="DNF",F102="DNS",F102=""),"-",VLOOKUP(C102,'FERDİ SONUÇ'!$B$6:$H$819,7,0))</f>
        <v>-</v>
      </c>
      <c r="H102" s="118"/>
    </row>
    <row r="103" spans="1:8" s="120" customFormat="1" ht="19.5" customHeight="1">
      <c r="A103" s="112">
        <f>IF(ISERROR(SMALL('TAKIM KAYIT'!$A$6:$A$305,20)),"",SMALL('TAKIM KAYIT'!$A$6:$A$305,20))</f>
      </c>
      <c r="B103" s="113">
        <f>IF(A103="","",VLOOKUP(A103,'TAKIM KAYIT'!$A$6:$J$305,2,FALSE))</f>
      </c>
      <c r="C103" s="114">
        <f>IF(A103="","",VLOOKUP(A103,'TAKIM KAYIT'!$A$6:$J$305,3,FALSE))</f>
      </c>
      <c r="D103" s="115">
        <f>IF(ISERROR(VLOOKUP($C103,'START LİSTE'!$B$6:$G$1006,2,0)),"",VLOOKUP($C103,'START LİSTE'!$B$6:$G$1006,2,0))</f>
      </c>
      <c r="E103" s="116">
        <f>IF(ISERROR(VLOOKUP($C103,'START LİSTE'!$B$6:$G$1006,4,0)),"",VLOOKUP($C103,'START LİSTE'!$B$6:$G$1006,4,0))</f>
      </c>
      <c r="F103" s="125">
        <f>IF(ISERROR(VLOOKUP($C103,'FERDİ SONUÇ'!$B$6:$H$819,6,0)),"",VLOOKUP($C103,'FERDİ SONUÇ'!$B$6:$H$819,6,0))</f>
      </c>
      <c r="G103" s="122" t="str">
        <f>IF(OR(E103="",F103="DQ",F103="DNF",F103="DNS",F103=""),"-",VLOOKUP(C103,'FERDİ SONUÇ'!$B$6:$H$819,7,0))</f>
        <v>-</v>
      </c>
      <c r="H103" s="118">
        <f>IF(A103="","",VLOOKUP(A103,'TAKIM KAYIT'!$A$6:$K$305,10,FALSE))</f>
      </c>
    </row>
    <row r="104" spans="1:8" s="120" customFormat="1" ht="19.5" customHeight="1">
      <c r="A104" s="112"/>
      <c r="B104" s="113"/>
      <c r="C104" s="114">
        <f>IF(A103="","",INDEX('TAKIM KAYIT'!$C$6:$C$305,MATCH(C103,'TAKIM KAYIT'!$C$6:$C$305,0)+1))</f>
      </c>
      <c r="D104" s="115">
        <f>IF(ISERROR(VLOOKUP($C104,'START LİSTE'!$B$6:$G$1006,2,0)),"",VLOOKUP($C104,'START LİSTE'!$B$6:$G$1006,2,0))</f>
      </c>
      <c r="E104" s="116">
        <f>IF(ISERROR(VLOOKUP($C104,'START LİSTE'!$B$6:$G$1006,4,0)),"",VLOOKUP($C104,'START LİSTE'!$B$6:$G$1006,4,0))</f>
      </c>
      <c r="F104" s="125">
        <f>IF(ISERROR(VLOOKUP($C104,'FERDİ SONUÇ'!$B$6:$H$819,6,0)),"",VLOOKUP($C104,'FERDİ SONUÇ'!$B$6:$H$819,6,0))</f>
      </c>
      <c r="G104" s="122" t="str">
        <f>IF(OR(E104="",F104="DQ",F104="DNF",F104="DNS",F104=""),"-",VLOOKUP(C104,'FERDİ SONUÇ'!$B$6:$H$819,7,0))</f>
        <v>-</v>
      </c>
      <c r="H104" s="118"/>
    </row>
    <row r="105" spans="1:8" s="120" customFormat="1" ht="19.5" customHeight="1">
      <c r="A105" s="112"/>
      <c r="B105" s="113"/>
      <c r="C105" s="114">
        <f>IF(A103="","",INDEX('TAKIM KAYIT'!$C$6:$C$305,MATCH(C103,'TAKIM KAYIT'!$C$6:$C$305,0)+2))</f>
      </c>
      <c r="D105" s="115">
        <f>IF(ISERROR(VLOOKUP($C105,'START LİSTE'!$B$6:$G$1006,2,0)),"",VLOOKUP($C105,'START LİSTE'!$B$6:$G$1006,2,0))</f>
      </c>
      <c r="E105" s="116">
        <f>IF(ISERROR(VLOOKUP($C105,'START LİSTE'!$B$6:$G$1006,4,0)),"",VLOOKUP($C105,'START LİSTE'!$B$6:$G$1006,4,0))</f>
      </c>
      <c r="F105" s="125">
        <f>IF(ISERROR(VLOOKUP($C105,'FERDİ SONUÇ'!$B$6:$H$819,6,0)),"",VLOOKUP($C105,'FERDİ SONUÇ'!$B$6:$H$819,6,0))</f>
      </c>
      <c r="G105" s="122" t="str">
        <f>IF(OR(E105="",F105="DQ",F105="DNF",F105="DNS",F105=""),"-",VLOOKUP(C105,'FERDİ SONUÇ'!$B$6:$H$819,7,0))</f>
        <v>-</v>
      </c>
      <c r="H105" s="118"/>
    </row>
    <row r="106" spans="1:8" s="120" customFormat="1" ht="19.5" customHeight="1">
      <c r="A106" s="104"/>
      <c r="B106" s="105"/>
      <c r="C106" s="106">
        <f>IF(A108="","",INDEX('TAKIM KAYIT'!$C$6:$C$305,MATCH(C108,'TAKIM KAYIT'!$C$6:$C$305,0)-2))</f>
      </c>
      <c r="D106" s="119">
        <f>IF(ISERROR(VLOOKUP($C106,'START LİSTE'!$B$6:$G$1006,2,0)),"",VLOOKUP($C106,'START LİSTE'!$B$6:$G$1006,2,0))</f>
      </c>
      <c r="E106" s="108">
        <f>IF(ISERROR(VLOOKUP($C106,'START LİSTE'!$B$6:$G$1006,4,0)),"",VLOOKUP($C106,'START LİSTE'!$B$6:$G$1006,4,0))</f>
      </c>
      <c r="F106" s="124">
        <f>IF(ISERROR(VLOOKUP($C106,'FERDİ SONUÇ'!$B$6:$H$819,6,0)),"",VLOOKUP($C106,'FERDİ SONUÇ'!$B$6:$H$819,6,0))</f>
      </c>
      <c r="G106" s="121" t="str">
        <f>IF(OR(E106="",F106="DQ",F106="DNF",F106="DNS",F106=""),"-",VLOOKUP(C106,'FERDİ SONUÇ'!$B$6:$H$819,7,0))</f>
        <v>-</v>
      </c>
      <c r="H106" s="110"/>
    </row>
    <row r="107" spans="1:8" s="120" customFormat="1" ht="19.5" customHeight="1">
      <c r="A107" s="112"/>
      <c r="B107" s="113"/>
      <c r="C107" s="114">
        <f>IF(A108="","",INDEX('TAKIM KAYIT'!$C$6:$C$305,MATCH(C108,'TAKIM KAYIT'!$C$6:$C$305,0)-1))</f>
      </c>
      <c r="D107" s="115">
        <f>IF(ISERROR(VLOOKUP($C107,'START LİSTE'!$B$6:$G$1006,2,0)),"",VLOOKUP($C107,'START LİSTE'!$B$6:$G$1006,2,0))</f>
      </c>
      <c r="E107" s="116">
        <f>IF(ISERROR(VLOOKUP($C107,'START LİSTE'!$B$6:$G$1006,4,0)),"",VLOOKUP($C107,'START LİSTE'!$B$6:$G$1006,4,0))</f>
      </c>
      <c r="F107" s="125">
        <f>IF(ISERROR(VLOOKUP($C107,'FERDİ SONUÇ'!$B$6:$H$819,6,0)),"",VLOOKUP($C107,'FERDİ SONUÇ'!$B$6:$H$819,6,0))</f>
      </c>
      <c r="G107" s="122" t="str">
        <f>IF(OR(E107="",F107="DQ",F107="DNF",F107="DNS",F107=""),"-",VLOOKUP(C107,'FERDİ SONUÇ'!$B$6:$H$819,7,0))</f>
        <v>-</v>
      </c>
      <c r="H107" s="118"/>
    </row>
    <row r="108" spans="1:8" s="120" customFormat="1" ht="19.5" customHeight="1">
      <c r="A108" s="112">
        <f>IF(ISERROR(SMALL('TAKIM KAYIT'!$A$6:$A$305,21)),"",SMALL('TAKIM KAYIT'!$A$6:$A$305,21))</f>
      </c>
      <c r="B108" s="113">
        <f>IF(A108="","",VLOOKUP(A108,'TAKIM KAYIT'!$A$6:$J$305,2,FALSE))</f>
      </c>
      <c r="C108" s="114">
        <f>IF(A108="","",VLOOKUP(A108,'TAKIM KAYIT'!$A$6:$J$305,3,FALSE))</f>
      </c>
      <c r="D108" s="115">
        <f>IF(ISERROR(VLOOKUP($C108,'START LİSTE'!$B$6:$G$1006,2,0)),"",VLOOKUP($C108,'START LİSTE'!$B$6:$G$1006,2,0))</f>
      </c>
      <c r="E108" s="116">
        <f>IF(ISERROR(VLOOKUP($C108,'START LİSTE'!$B$6:$G$1006,4,0)),"",VLOOKUP($C108,'START LİSTE'!$B$6:$G$1006,4,0))</f>
      </c>
      <c r="F108" s="125">
        <f>IF(ISERROR(VLOOKUP($C108,'FERDİ SONUÇ'!$B$6:$H$819,6,0)),"",VLOOKUP($C108,'FERDİ SONUÇ'!$B$6:$H$819,6,0))</f>
      </c>
      <c r="G108" s="122" t="str">
        <f>IF(OR(E108="",F108="DQ",F108="DNF",F108="DNS",F108=""),"-",VLOOKUP(C108,'FERDİ SONUÇ'!$B$6:$H$819,7,0))</f>
        <v>-</v>
      </c>
      <c r="H108" s="118">
        <f>IF(A108="","",VLOOKUP(A108,'TAKIM KAYIT'!$A$6:$K$305,10,FALSE))</f>
      </c>
    </row>
    <row r="109" spans="1:8" s="120" customFormat="1" ht="19.5" customHeight="1">
      <c r="A109" s="112"/>
      <c r="B109" s="113"/>
      <c r="C109" s="114">
        <f>IF(A108="","",INDEX('TAKIM KAYIT'!$C$6:$C$305,MATCH(C108,'TAKIM KAYIT'!$C$6:$C$305,0)+1))</f>
      </c>
      <c r="D109" s="115">
        <f>IF(ISERROR(VLOOKUP($C109,'START LİSTE'!$B$6:$G$1006,2,0)),"",VLOOKUP($C109,'START LİSTE'!$B$6:$G$1006,2,0))</f>
      </c>
      <c r="E109" s="116">
        <f>IF(ISERROR(VLOOKUP($C109,'START LİSTE'!$B$6:$G$1006,4,0)),"",VLOOKUP($C109,'START LİSTE'!$B$6:$G$1006,4,0))</f>
      </c>
      <c r="F109" s="125">
        <f>IF(ISERROR(VLOOKUP($C109,'FERDİ SONUÇ'!$B$6:$H$819,6,0)),"",VLOOKUP($C109,'FERDİ SONUÇ'!$B$6:$H$819,6,0))</f>
      </c>
      <c r="G109" s="122" t="str">
        <f>IF(OR(E109="",F109="DQ",F109="DNF",F109="DNS",F109=""),"-",VLOOKUP(C109,'FERDİ SONUÇ'!$B$6:$H$819,7,0))</f>
        <v>-</v>
      </c>
      <c r="H109" s="118"/>
    </row>
    <row r="110" spans="1:8" s="120" customFormat="1" ht="19.5" customHeight="1">
      <c r="A110" s="112"/>
      <c r="B110" s="113"/>
      <c r="C110" s="114">
        <f>IF(A108="","",INDEX('TAKIM KAYIT'!$C$6:$C$305,MATCH(C108,'TAKIM KAYIT'!$C$6:$C$305,0)+2))</f>
      </c>
      <c r="D110" s="115">
        <f>IF(ISERROR(VLOOKUP($C110,'START LİSTE'!$B$6:$G$1006,2,0)),"",VLOOKUP($C110,'START LİSTE'!$B$6:$G$1006,2,0))</f>
      </c>
      <c r="E110" s="116">
        <f>IF(ISERROR(VLOOKUP($C110,'START LİSTE'!$B$6:$G$1006,4,0)),"",VLOOKUP($C110,'START LİSTE'!$B$6:$G$1006,4,0))</f>
      </c>
      <c r="F110" s="125">
        <f>IF(ISERROR(VLOOKUP($C110,'FERDİ SONUÇ'!$B$6:$H$819,6,0)),"",VLOOKUP($C110,'FERDİ SONUÇ'!$B$6:$H$819,6,0))</f>
      </c>
      <c r="G110" s="122" t="str">
        <f>IF(OR(E110="",F110="DQ",F110="DNF",F110="DNS",F110=""),"-",VLOOKUP(C110,'FERDİ SONUÇ'!$B$6:$H$819,7,0))</f>
        <v>-</v>
      </c>
      <c r="H110" s="118"/>
    </row>
    <row r="111" spans="1:8" s="120" customFormat="1" ht="19.5" customHeight="1">
      <c r="A111" s="104"/>
      <c r="B111" s="105"/>
      <c r="C111" s="106">
        <f>IF(A113="","",INDEX('TAKIM KAYIT'!$C$6:$C$305,MATCH(C113,'TAKIM KAYIT'!$C$6:$C$305,0)-2))</f>
      </c>
      <c r="D111" s="119">
        <f>IF(ISERROR(VLOOKUP($C111,'START LİSTE'!$B$6:$G$1006,2,0)),"",VLOOKUP($C111,'START LİSTE'!$B$6:$G$1006,2,0))</f>
      </c>
      <c r="E111" s="108">
        <f>IF(ISERROR(VLOOKUP($C111,'START LİSTE'!$B$6:$G$1006,4,0)),"",VLOOKUP($C111,'START LİSTE'!$B$6:$G$1006,4,0))</f>
      </c>
      <c r="F111" s="124">
        <f>IF(ISERROR(VLOOKUP($C111,'FERDİ SONUÇ'!$B$6:$H$819,6,0)),"",VLOOKUP($C111,'FERDİ SONUÇ'!$B$6:$H$819,6,0))</f>
      </c>
      <c r="G111" s="121" t="str">
        <f>IF(OR(E111="",F111="DQ",F111="DNF",F111="DNS",F111=""),"-",VLOOKUP(C111,'FERDİ SONUÇ'!$B$6:$H$819,7,0))</f>
        <v>-</v>
      </c>
      <c r="H111" s="110"/>
    </row>
    <row r="112" spans="1:8" s="120" customFormat="1" ht="19.5" customHeight="1">
      <c r="A112" s="112"/>
      <c r="B112" s="113"/>
      <c r="C112" s="114">
        <f>IF(A113="","",INDEX('TAKIM KAYIT'!$C$6:$C$305,MATCH(C113,'TAKIM KAYIT'!$C$6:$C$305,0)-1))</f>
      </c>
      <c r="D112" s="115">
        <f>IF(ISERROR(VLOOKUP($C112,'START LİSTE'!$B$6:$G$1006,2,0)),"",VLOOKUP($C112,'START LİSTE'!$B$6:$G$1006,2,0))</f>
      </c>
      <c r="E112" s="116">
        <f>IF(ISERROR(VLOOKUP($C112,'START LİSTE'!$B$6:$G$1006,4,0)),"",VLOOKUP($C112,'START LİSTE'!$B$6:$G$1006,4,0))</f>
      </c>
      <c r="F112" s="125">
        <f>IF(ISERROR(VLOOKUP($C112,'FERDİ SONUÇ'!$B$6:$H$819,6,0)),"",VLOOKUP($C112,'FERDİ SONUÇ'!$B$6:$H$819,6,0))</f>
      </c>
      <c r="G112" s="122" t="str">
        <f>IF(OR(E112="",F112="DQ",F112="DNF",F112="DNS",F112=""),"-",VLOOKUP(C112,'FERDİ SONUÇ'!$B$6:$H$819,7,0))</f>
        <v>-</v>
      </c>
      <c r="H112" s="118"/>
    </row>
    <row r="113" spans="1:8" s="120" customFormat="1" ht="19.5" customHeight="1">
      <c r="A113" s="112">
        <f>IF(ISERROR(SMALL('TAKIM KAYIT'!$A$6:$A$305,22)),"",SMALL('TAKIM KAYIT'!$A$6:$A$305,22))</f>
      </c>
      <c r="B113" s="113">
        <f>IF(A113="","",VLOOKUP(A113,'TAKIM KAYIT'!$A$6:$J$305,2,FALSE))</f>
      </c>
      <c r="C113" s="114">
        <f>IF(A113="","",VLOOKUP(A113,'TAKIM KAYIT'!$A$6:$J$305,3,FALSE))</f>
      </c>
      <c r="D113" s="115">
        <f>IF(ISERROR(VLOOKUP($C113,'START LİSTE'!$B$6:$G$1006,2,0)),"",VLOOKUP($C113,'START LİSTE'!$B$6:$G$1006,2,0))</f>
      </c>
      <c r="E113" s="116">
        <f>IF(ISERROR(VLOOKUP($C113,'START LİSTE'!$B$6:$G$1006,4,0)),"",VLOOKUP($C113,'START LİSTE'!$B$6:$G$1006,4,0))</f>
      </c>
      <c r="F113" s="125">
        <f>IF(ISERROR(VLOOKUP($C113,'FERDİ SONUÇ'!$B$6:$H$819,6,0)),"",VLOOKUP($C113,'FERDİ SONUÇ'!$B$6:$H$819,6,0))</f>
      </c>
      <c r="G113" s="122" t="str">
        <f>IF(OR(E113="",F113="DQ",F113="DNF",F113="DNS",F113=""),"-",VLOOKUP(C113,'FERDİ SONUÇ'!$B$6:$H$819,7,0))</f>
        <v>-</v>
      </c>
      <c r="H113" s="118">
        <f>IF(A113="","",VLOOKUP(A113,'TAKIM KAYIT'!$A$6:$K$305,10,FALSE))</f>
      </c>
    </row>
    <row r="114" spans="1:8" s="120" customFormat="1" ht="19.5" customHeight="1">
      <c r="A114" s="112"/>
      <c r="B114" s="113"/>
      <c r="C114" s="114">
        <f>IF(A113="","",INDEX('TAKIM KAYIT'!$C$6:$C$305,MATCH(C113,'TAKIM KAYIT'!$C$6:$C$305,0)+1))</f>
      </c>
      <c r="D114" s="115">
        <f>IF(ISERROR(VLOOKUP($C114,'START LİSTE'!$B$6:$G$1006,2,0)),"",VLOOKUP($C114,'START LİSTE'!$B$6:$G$1006,2,0))</f>
      </c>
      <c r="E114" s="116">
        <f>IF(ISERROR(VLOOKUP($C114,'START LİSTE'!$B$6:$G$1006,4,0)),"",VLOOKUP($C114,'START LİSTE'!$B$6:$G$1006,4,0))</f>
      </c>
      <c r="F114" s="125">
        <f>IF(ISERROR(VLOOKUP($C114,'FERDİ SONUÇ'!$B$6:$H$819,6,0)),"",VLOOKUP($C114,'FERDİ SONUÇ'!$B$6:$H$819,6,0))</f>
      </c>
      <c r="G114" s="122" t="str">
        <f>IF(OR(E114="",F114="DQ",F114="DNF",F114="DNS",F114=""),"-",VLOOKUP(C114,'FERDİ SONUÇ'!$B$6:$H$819,7,0))</f>
        <v>-</v>
      </c>
      <c r="H114" s="118"/>
    </row>
    <row r="115" spans="1:8" s="120" customFormat="1" ht="19.5" customHeight="1">
      <c r="A115" s="112"/>
      <c r="B115" s="113"/>
      <c r="C115" s="114">
        <f>IF(A113="","",INDEX('TAKIM KAYIT'!$C$6:$C$305,MATCH(C113,'TAKIM KAYIT'!$C$6:$C$305,0)+2))</f>
      </c>
      <c r="D115" s="115">
        <f>IF(ISERROR(VLOOKUP($C115,'START LİSTE'!$B$6:$G$1006,2,0)),"",VLOOKUP($C115,'START LİSTE'!$B$6:$G$1006,2,0))</f>
      </c>
      <c r="E115" s="116">
        <f>IF(ISERROR(VLOOKUP($C115,'START LİSTE'!$B$6:$G$1006,4,0)),"",VLOOKUP($C115,'START LİSTE'!$B$6:$G$1006,4,0))</f>
      </c>
      <c r="F115" s="125">
        <f>IF(ISERROR(VLOOKUP($C115,'FERDİ SONUÇ'!$B$6:$H$819,6,0)),"",VLOOKUP($C115,'FERDİ SONUÇ'!$B$6:$H$819,6,0))</f>
      </c>
      <c r="G115" s="122" t="str">
        <f>IF(OR(E115="",F115="DQ",F115="DNF",F115="DNS",F115=""),"-",VLOOKUP(C115,'FERDİ SONUÇ'!$B$6:$H$819,7,0))</f>
        <v>-</v>
      </c>
      <c r="H115" s="118"/>
    </row>
    <row r="116" spans="1:8" s="120" customFormat="1" ht="19.5" customHeight="1">
      <c r="A116" s="104"/>
      <c r="B116" s="105"/>
      <c r="C116" s="106">
        <f>IF(A118="","",INDEX('TAKIM KAYIT'!$C$6:$C$305,MATCH(C118,'TAKIM KAYIT'!$C$6:$C$305,0)-2))</f>
      </c>
      <c r="D116" s="119">
        <f>IF(ISERROR(VLOOKUP($C116,'START LİSTE'!$B$6:$G$1006,2,0)),"",VLOOKUP($C116,'START LİSTE'!$B$6:$G$1006,2,0))</f>
      </c>
      <c r="E116" s="108">
        <f>IF(ISERROR(VLOOKUP($C116,'START LİSTE'!$B$6:$G$1006,4,0)),"",VLOOKUP($C116,'START LİSTE'!$B$6:$G$1006,4,0))</f>
      </c>
      <c r="F116" s="124">
        <f>IF(ISERROR(VLOOKUP($C116,'FERDİ SONUÇ'!$B$6:$H$819,6,0)),"",VLOOKUP($C116,'FERDİ SONUÇ'!$B$6:$H$819,6,0))</f>
      </c>
      <c r="G116" s="121" t="str">
        <f>IF(OR(E116="",F116="DQ",F116="DNF",F116="DNS",F116=""),"-",VLOOKUP(C116,'FERDİ SONUÇ'!$B$6:$H$819,7,0))</f>
        <v>-</v>
      </c>
      <c r="H116" s="110"/>
    </row>
    <row r="117" spans="1:8" s="120" customFormat="1" ht="19.5" customHeight="1">
      <c r="A117" s="112"/>
      <c r="B117" s="113"/>
      <c r="C117" s="114">
        <f>IF(A118="","",INDEX('TAKIM KAYIT'!$C$6:$C$305,MATCH(C118,'TAKIM KAYIT'!$C$6:$C$305,0)-1))</f>
      </c>
      <c r="D117" s="115">
        <f>IF(ISERROR(VLOOKUP($C117,'START LİSTE'!$B$6:$G$1006,2,0)),"",VLOOKUP($C117,'START LİSTE'!$B$6:$G$1006,2,0))</f>
      </c>
      <c r="E117" s="116">
        <f>IF(ISERROR(VLOOKUP($C117,'START LİSTE'!$B$6:$G$1006,4,0)),"",VLOOKUP($C117,'START LİSTE'!$B$6:$G$1006,4,0))</f>
      </c>
      <c r="F117" s="125">
        <f>IF(ISERROR(VLOOKUP($C117,'FERDİ SONUÇ'!$B$6:$H$819,6,0)),"",VLOOKUP($C117,'FERDİ SONUÇ'!$B$6:$H$819,6,0))</f>
      </c>
      <c r="G117" s="122" t="str">
        <f>IF(OR(E117="",F117="DQ",F117="DNF",F117="DNS",F117=""),"-",VLOOKUP(C117,'FERDİ SONUÇ'!$B$6:$H$819,7,0))</f>
        <v>-</v>
      </c>
      <c r="H117" s="118"/>
    </row>
    <row r="118" spans="1:8" s="120" customFormat="1" ht="19.5" customHeight="1">
      <c r="A118" s="112">
        <f>IF(ISERROR(SMALL('TAKIM KAYIT'!$A$6:$A$305,23)),"",SMALL('TAKIM KAYIT'!$A$6:$A$305,23))</f>
      </c>
      <c r="B118" s="113">
        <f>IF(A118="","",VLOOKUP(A118,'TAKIM KAYIT'!$A$6:$J$305,2,FALSE))</f>
      </c>
      <c r="C118" s="114">
        <f>IF(A118="","",VLOOKUP(A118,'TAKIM KAYIT'!$A$6:$J$305,3,FALSE))</f>
      </c>
      <c r="D118" s="115">
        <f>IF(ISERROR(VLOOKUP($C118,'START LİSTE'!$B$6:$G$1006,2,0)),"",VLOOKUP($C118,'START LİSTE'!$B$6:$G$1006,2,0))</f>
      </c>
      <c r="E118" s="116">
        <f>IF(ISERROR(VLOOKUP($C118,'START LİSTE'!$B$6:$G$1006,4,0)),"",VLOOKUP($C118,'START LİSTE'!$B$6:$G$1006,4,0))</f>
      </c>
      <c r="F118" s="125">
        <f>IF(ISERROR(VLOOKUP($C118,'FERDİ SONUÇ'!$B$6:$H$819,6,0)),"",VLOOKUP($C118,'FERDİ SONUÇ'!$B$6:$H$819,6,0))</f>
      </c>
      <c r="G118" s="122" t="str">
        <f>IF(OR(E118="",F118="DQ",F118="DNF",F118="DNS",F118=""),"-",VLOOKUP(C118,'FERDİ SONUÇ'!$B$6:$H$819,7,0))</f>
        <v>-</v>
      </c>
      <c r="H118" s="118">
        <f>IF(A118="","",VLOOKUP(A118,'TAKIM KAYIT'!$A$6:$K$305,10,FALSE))</f>
      </c>
    </row>
    <row r="119" spans="1:8" s="120" customFormat="1" ht="19.5" customHeight="1">
      <c r="A119" s="112"/>
      <c r="B119" s="113"/>
      <c r="C119" s="114">
        <f>IF(A118="","",INDEX('TAKIM KAYIT'!$C$6:$C$305,MATCH(C118,'TAKIM KAYIT'!$C$6:$C$305,0)+1))</f>
      </c>
      <c r="D119" s="115">
        <f>IF(ISERROR(VLOOKUP($C119,'START LİSTE'!$B$6:$G$1006,2,0)),"",VLOOKUP($C119,'START LİSTE'!$B$6:$G$1006,2,0))</f>
      </c>
      <c r="E119" s="116">
        <f>IF(ISERROR(VLOOKUP($C119,'START LİSTE'!$B$6:$G$1006,4,0)),"",VLOOKUP($C119,'START LİSTE'!$B$6:$G$1006,4,0))</f>
      </c>
      <c r="F119" s="125">
        <f>IF(ISERROR(VLOOKUP($C119,'FERDİ SONUÇ'!$B$6:$H$819,6,0)),"",VLOOKUP($C119,'FERDİ SONUÇ'!$B$6:$H$819,6,0))</f>
      </c>
      <c r="G119" s="122" t="str">
        <f>IF(OR(E119="",F119="DQ",F119="DNF",F119="DNS",F119=""),"-",VLOOKUP(C119,'FERDİ SONUÇ'!$B$6:$H$819,7,0))</f>
        <v>-</v>
      </c>
      <c r="H119" s="118"/>
    </row>
    <row r="120" spans="1:8" s="120" customFormat="1" ht="19.5" customHeight="1">
      <c r="A120" s="112"/>
      <c r="B120" s="113"/>
      <c r="C120" s="114">
        <f>IF(A118="","",INDEX('TAKIM KAYIT'!$C$6:$C$305,MATCH(C118,'TAKIM KAYIT'!$C$6:$C$305,0)+2))</f>
      </c>
      <c r="D120" s="115">
        <f>IF(ISERROR(VLOOKUP($C120,'START LİSTE'!$B$6:$G$1006,2,0)),"",VLOOKUP($C120,'START LİSTE'!$B$6:$G$1006,2,0))</f>
      </c>
      <c r="E120" s="116">
        <f>IF(ISERROR(VLOOKUP($C120,'START LİSTE'!$B$6:$G$1006,4,0)),"",VLOOKUP($C120,'START LİSTE'!$B$6:$G$1006,4,0))</f>
      </c>
      <c r="F120" s="125">
        <f>IF(ISERROR(VLOOKUP($C120,'FERDİ SONUÇ'!$B$6:$H$819,6,0)),"",VLOOKUP($C120,'FERDİ SONUÇ'!$B$6:$H$819,6,0))</f>
      </c>
      <c r="G120" s="122" t="str">
        <f>IF(OR(E120="",F120="DQ",F120="DNF",F120="DNS",F120=""),"-",VLOOKUP(C120,'FERDİ SONUÇ'!$B$6:$H$819,7,0))</f>
        <v>-</v>
      </c>
      <c r="H120" s="118"/>
    </row>
    <row r="121" spans="1:8" s="120" customFormat="1" ht="19.5" customHeight="1">
      <c r="A121" s="104"/>
      <c r="B121" s="105"/>
      <c r="C121" s="106">
        <f>IF(A123="","",INDEX('TAKIM KAYIT'!$C$6:$C$305,MATCH(C123,'TAKIM KAYIT'!$C$6:$C$305,0)-2))</f>
      </c>
      <c r="D121" s="119">
        <f>IF(ISERROR(VLOOKUP($C121,'START LİSTE'!$B$6:$G$1006,2,0)),"",VLOOKUP($C121,'START LİSTE'!$B$6:$G$1006,2,0))</f>
      </c>
      <c r="E121" s="108">
        <f>IF(ISERROR(VLOOKUP($C121,'START LİSTE'!$B$6:$G$1006,4,0)),"",VLOOKUP($C121,'START LİSTE'!$B$6:$G$1006,4,0))</f>
      </c>
      <c r="F121" s="124">
        <f>IF(ISERROR(VLOOKUP($C121,'FERDİ SONUÇ'!$B$6:$H$819,6,0)),"",VLOOKUP($C121,'FERDİ SONUÇ'!$B$6:$H$819,6,0))</f>
      </c>
      <c r="G121" s="121" t="str">
        <f>IF(OR(E121="",F121="DQ",F121="DNF",F121="DNS",F121=""),"-",VLOOKUP(C121,'FERDİ SONUÇ'!$B$6:$H$819,7,0))</f>
        <v>-</v>
      </c>
      <c r="H121" s="110"/>
    </row>
    <row r="122" spans="1:8" s="120" customFormat="1" ht="19.5" customHeight="1">
      <c r="A122" s="112"/>
      <c r="B122" s="113"/>
      <c r="C122" s="114">
        <f>IF(A123="","",INDEX('TAKIM KAYIT'!$C$6:$C$305,MATCH(C123,'TAKIM KAYIT'!$C$6:$C$305,0)-1))</f>
      </c>
      <c r="D122" s="115">
        <f>IF(ISERROR(VLOOKUP($C122,'START LİSTE'!$B$6:$G$1006,2,0)),"",VLOOKUP($C122,'START LİSTE'!$B$6:$G$1006,2,0))</f>
      </c>
      <c r="E122" s="116">
        <f>IF(ISERROR(VLOOKUP($C122,'START LİSTE'!$B$6:$G$1006,4,0)),"",VLOOKUP($C122,'START LİSTE'!$B$6:$G$1006,4,0))</f>
      </c>
      <c r="F122" s="125">
        <f>IF(ISERROR(VLOOKUP($C122,'FERDİ SONUÇ'!$B$6:$H$819,6,0)),"",VLOOKUP($C122,'FERDİ SONUÇ'!$B$6:$H$819,6,0))</f>
      </c>
      <c r="G122" s="122" t="str">
        <f>IF(OR(E122="",F122="DQ",F122="DNF",F122="DNS",F122=""),"-",VLOOKUP(C122,'FERDİ SONUÇ'!$B$6:$H$819,7,0))</f>
        <v>-</v>
      </c>
      <c r="H122" s="118"/>
    </row>
    <row r="123" spans="1:8" s="120" customFormat="1" ht="19.5" customHeight="1">
      <c r="A123" s="112">
        <f>IF(ISERROR(SMALL('TAKIM KAYIT'!$A$6:$A$305,24)),"",SMALL('TAKIM KAYIT'!$A$6:$A$305,24))</f>
      </c>
      <c r="B123" s="113">
        <f>IF(A123="","",VLOOKUP(A123,'TAKIM KAYIT'!$A$6:$J$305,2,FALSE))</f>
      </c>
      <c r="C123" s="114">
        <f>IF(A123="","",VLOOKUP(A123,'TAKIM KAYIT'!$A$6:$J$305,3,FALSE))</f>
      </c>
      <c r="D123" s="115">
        <f>IF(ISERROR(VLOOKUP($C123,'START LİSTE'!$B$6:$G$1006,2,0)),"",VLOOKUP($C123,'START LİSTE'!$B$6:$G$1006,2,0))</f>
      </c>
      <c r="E123" s="116">
        <f>IF(ISERROR(VLOOKUP($C123,'START LİSTE'!$B$6:$G$1006,4,0)),"",VLOOKUP($C123,'START LİSTE'!$B$6:$G$1006,4,0))</f>
      </c>
      <c r="F123" s="125">
        <f>IF(ISERROR(VLOOKUP($C123,'FERDİ SONUÇ'!$B$6:$H$819,6,0)),"",VLOOKUP($C123,'FERDİ SONUÇ'!$B$6:$H$819,6,0))</f>
      </c>
      <c r="G123" s="122" t="str">
        <f>IF(OR(E123="",F123="DQ",F123="DNF",F123="DNS",F123=""),"-",VLOOKUP(C123,'FERDİ SONUÇ'!$B$6:$H$819,7,0))</f>
        <v>-</v>
      </c>
      <c r="H123" s="118">
        <f>IF(A123="","",VLOOKUP(A123,'TAKIM KAYIT'!$A$6:$K$305,10,FALSE))</f>
      </c>
    </row>
    <row r="124" spans="1:8" s="120" customFormat="1" ht="19.5" customHeight="1">
      <c r="A124" s="112"/>
      <c r="B124" s="113"/>
      <c r="C124" s="114">
        <f>IF(A123="","",INDEX('TAKIM KAYIT'!$C$6:$C$305,MATCH(C123,'TAKIM KAYIT'!$C$6:$C$305,0)+1))</f>
      </c>
      <c r="D124" s="115">
        <f>IF(ISERROR(VLOOKUP($C124,'START LİSTE'!$B$6:$G$1006,2,0)),"",VLOOKUP($C124,'START LİSTE'!$B$6:$G$1006,2,0))</f>
      </c>
      <c r="E124" s="116">
        <f>IF(ISERROR(VLOOKUP($C124,'START LİSTE'!$B$6:$G$1006,4,0)),"",VLOOKUP($C124,'START LİSTE'!$B$6:$G$1006,4,0))</f>
      </c>
      <c r="F124" s="125">
        <f>IF(ISERROR(VLOOKUP($C124,'FERDİ SONUÇ'!$B$6:$H$819,6,0)),"",VLOOKUP($C124,'FERDİ SONUÇ'!$B$6:$H$819,6,0))</f>
      </c>
      <c r="G124" s="122" t="str">
        <f>IF(OR(E124="",F124="DQ",F124="DNF",F124="DNS",F124=""),"-",VLOOKUP(C124,'FERDİ SONUÇ'!$B$6:$H$819,7,0))</f>
        <v>-</v>
      </c>
      <c r="H124" s="118"/>
    </row>
    <row r="125" spans="1:8" s="120" customFormat="1" ht="19.5" customHeight="1">
      <c r="A125" s="112"/>
      <c r="B125" s="113"/>
      <c r="C125" s="114">
        <f>IF(A123="","",INDEX('TAKIM KAYIT'!$C$6:$C$305,MATCH(C123,'TAKIM KAYIT'!$C$6:$C$305,0)+2))</f>
      </c>
      <c r="D125" s="115">
        <f>IF(ISERROR(VLOOKUP($C125,'START LİSTE'!$B$6:$G$1006,2,0)),"",VLOOKUP($C125,'START LİSTE'!$B$6:$G$1006,2,0))</f>
      </c>
      <c r="E125" s="116">
        <f>IF(ISERROR(VLOOKUP($C125,'START LİSTE'!$B$6:$G$1006,4,0)),"",VLOOKUP($C125,'START LİSTE'!$B$6:$G$1006,4,0))</f>
      </c>
      <c r="F125" s="125">
        <f>IF(ISERROR(VLOOKUP($C125,'FERDİ SONUÇ'!$B$6:$H$819,6,0)),"",VLOOKUP($C125,'FERDİ SONUÇ'!$B$6:$H$819,6,0))</f>
      </c>
      <c r="G125" s="122" t="str">
        <f>IF(OR(E125="",F125="DQ",F125="DNF",F125="DNS",F125=""),"-",VLOOKUP(C125,'FERDİ SONUÇ'!$B$6:$H$819,7,0))</f>
        <v>-</v>
      </c>
      <c r="H125" s="118"/>
    </row>
    <row r="126" spans="1:8" s="120" customFormat="1" ht="19.5" customHeight="1">
      <c r="A126" s="104"/>
      <c r="B126" s="105"/>
      <c r="C126" s="106">
        <f>IF(A128="","",INDEX('TAKIM KAYIT'!$C$6:$C$305,MATCH(C128,'TAKIM KAYIT'!$C$6:$C$305,0)-2))</f>
      </c>
      <c r="D126" s="119">
        <f>IF(ISERROR(VLOOKUP($C126,'START LİSTE'!$B$6:$G$1006,2,0)),"",VLOOKUP($C126,'START LİSTE'!$B$6:$G$1006,2,0))</f>
      </c>
      <c r="E126" s="108">
        <f>IF(ISERROR(VLOOKUP($C126,'START LİSTE'!$B$6:$G$1006,4,0)),"",VLOOKUP($C126,'START LİSTE'!$B$6:$G$1006,4,0))</f>
      </c>
      <c r="F126" s="124">
        <f>IF(ISERROR(VLOOKUP($C126,'FERDİ SONUÇ'!$B$6:$H$819,6,0)),"",VLOOKUP($C126,'FERDİ SONUÇ'!$B$6:$H$819,6,0))</f>
      </c>
      <c r="G126" s="121" t="str">
        <f>IF(OR(E126="",F126="DQ",F126="DNF",F126="DNS",F126=""),"-",VLOOKUP(C126,'FERDİ SONUÇ'!$B$6:$H$819,7,0))</f>
        <v>-</v>
      </c>
      <c r="H126" s="110"/>
    </row>
    <row r="127" spans="1:8" s="120" customFormat="1" ht="19.5" customHeight="1">
      <c r="A127" s="112"/>
      <c r="B127" s="113"/>
      <c r="C127" s="114">
        <f>IF(A128="","",INDEX('TAKIM KAYIT'!$C$6:$C$305,MATCH(C128,'TAKIM KAYIT'!$C$6:$C$305,0)-1))</f>
      </c>
      <c r="D127" s="115">
        <f>IF(ISERROR(VLOOKUP($C127,'START LİSTE'!$B$6:$G$1006,2,0)),"",VLOOKUP($C127,'START LİSTE'!$B$6:$G$1006,2,0))</f>
      </c>
      <c r="E127" s="116">
        <f>IF(ISERROR(VLOOKUP($C127,'START LİSTE'!$B$6:$G$1006,4,0)),"",VLOOKUP($C127,'START LİSTE'!$B$6:$G$1006,4,0))</f>
      </c>
      <c r="F127" s="125">
        <f>IF(ISERROR(VLOOKUP($C127,'FERDİ SONUÇ'!$B$6:$H$819,6,0)),"",VLOOKUP($C127,'FERDİ SONUÇ'!$B$6:$H$819,6,0))</f>
      </c>
      <c r="G127" s="122" t="str">
        <f>IF(OR(E127="",F127="DQ",F127="DNF",F127="DNS",F127=""),"-",VLOOKUP(C127,'FERDİ SONUÇ'!$B$6:$H$819,7,0))</f>
        <v>-</v>
      </c>
      <c r="H127" s="118"/>
    </row>
    <row r="128" spans="1:8" s="120" customFormat="1" ht="19.5" customHeight="1">
      <c r="A128" s="112">
        <f>IF(ISERROR(SMALL('TAKIM KAYIT'!$A$6:$A$305,25)),"",SMALL('TAKIM KAYIT'!$A$6:$A$305,25))</f>
      </c>
      <c r="B128" s="113">
        <f>IF(A128="","",VLOOKUP(A128,'TAKIM KAYIT'!$A$6:$J$305,2,FALSE))</f>
      </c>
      <c r="C128" s="114">
        <f>IF(A128="","",VLOOKUP(A128,'TAKIM KAYIT'!$A$6:$J$305,3,FALSE))</f>
      </c>
      <c r="D128" s="115">
        <f>IF(ISERROR(VLOOKUP($C128,'START LİSTE'!$B$6:$G$1006,2,0)),"",VLOOKUP($C128,'START LİSTE'!$B$6:$G$1006,2,0))</f>
      </c>
      <c r="E128" s="116">
        <f>IF(ISERROR(VLOOKUP($C128,'START LİSTE'!$B$6:$G$1006,4,0)),"",VLOOKUP($C128,'START LİSTE'!$B$6:$G$1006,4,0))</f>
      </c>
      <c r="F128" s="125">
        <f>IF(ISERROR(VLOOKUP($C128,'FERDİ SONUÇ'!$B$6:$H$819,6,0)),"",VLOOKUP($C128,'FERDİ SONUÇ'!$B$6:$H$819,6,0))</f>
      </c>
      <c r="G128" s="122" t="str">
        <f>IF(OR(E128="",F128="DQ",F128="DNF",F128="DNS",F128=""),"-",VLOOKUP(C128,'FERDİ SONUÇ'!$B$6:$H$819,7,0))</f>
        <v>-</v>
      </c>
      <c r="H128" s="118">
        <f>IF(A128="","",VLOOKUP(A128,'TAKIM KAYIT'!$A$6:$K$305,10,FALSE))</f>
      </c>
    </row>
    <row r="129" spans="1:8" s="120" customFormat="1" ht="19.5" customHeight="1">
      <c r="A129" s="112"/>
      <c r="B129" s="113"/>
      <c r="C129" s="114">
        <f>IF(A128="","",INDEX('TAKIM KAYIT'!$C$6:$C$305,MATCH(C128,'TAKIM KAYIT'!$C$6:$C$305,0)+1))</f>
      </c>
      <c r="D129" s="115">
        <f>IF(ISERROR(VLOOKUP($C129,'START LİSTE'!$B$6:$G$1006,2,0)),"",VLOOKUP($C129,'START LİSTE'!$B$6:$G$1006,2,0))</f>
      </c>
      <c r="E129" s="116">
        <f>IF(ISERROR(VLOOKUP($C129,'START LİSTE'!$B$6:$G$1006,4,0)),"",VLOOKUP($C129,'START LİSTE'!$B$6:$G$1006,4,0))</f>
      </c>
      <c r="F129" s="125">
        <f>IF(ISERROR(VLOOKUP($C129,'FERDİ SONUÇ'!$B$6:$H$819,6,0)),"",VLOOKUP($C129,'FERDİ SONUÇ'!$B$6:$H$819,6,0))</f>
      </c>
      <c r="G129" s="122" t="str">
        <f>IF(OR(E129="",F129="DQ",F129="DNF",F129="DNS",F129=""),"-",VLOOKUP(C129,'FERDİ SONUÇ'!$B$6:$H$819,7,0))</f>
        <v>-</v>
      </c>
      <c r="H129" s="118"/>
    </row>
    <row r="130" spans="1:8" s="120" customFormat="1" ht="19.5" customHeight="1">
      <c r="A130" s="112"/>
      <c r="B130" s="113"/>
      <c r="C130" s="114">
        <f>IF(A128="","",INDEX('TAKIM KAYIT'!$C$6:$C$305,MATCH(C128,'TAKIM KAYIT'!$C$6:$C$305,0)+2))</f>
      </c>
      <c r="D130" s="115">
        <f>IF(ISERROR(VLOOKUP($C130,'START LİSTE'!$B$6:$G$1006,2,0)),"",VLOOKUP($C130,'START LİSTE'!$B$6:$G$1006,2,0))</f>
      </c>
      <c r="E130" s="116">
        <f>IF(ISERROR(VLOOKUP($C130,'START LİSTE'!$B$6:$G$1006,4,0)),"",VLOOKUP($C130,'START LİSTE'!$B$6:$G$1006,4,0))</f>
      </c>
      <c r="F130" s="125">
        <f>IF(ISERROR(VLOOKUP($C130,'FERDİ SONUÇ'!$B$6:$H$819,6,0)),"",VLOOKUP($C130,'FERDİ SONUÇ'!$B$6:$H$819,6,0))</f>
      </c>
      <c r="G130" s="122" t="str">
        <f>IF(OR(E130="",F130="DQ",F130="DNF",F130="DNS",F130=""),"-",VLOOKUP(C130,'FERDİ SONUÇ'!$B$6:$H$819,7,0))</f>
        <v>-</v>
      </c>
      <c r="H130" s="118"/>
    </row>
    <row r="131" spans="1:8" s="120" customFormat="1" ht="19.5" customHeight="1">
      <c r="A131" s="104"/>
      <c r="B131" s="105"/>
      <c r="C131" s="106">
        <f>IF(A133="","",INDEX('TAKIM KAYIT'!$C$6:$C$305,MATCH(C133,'TAKIM KAYIT'!$C$6:$C$305,0)-2))</f>
      </c>
      <c r="D131" s="119">
        <f>IF(ISERROR(VLOOKUP($C131,'START LİSTE'!$B$6:$G$1006,2,0)),"",VLOOKUP($C131,'START LİSTE'!$B$6:$G$1006,2,0))</f>
      </c>
      <c r="E131" s="108">
        <f>IF(ISERROR(VLOOKUP($C131,'START LİSTE'!$B$6:$G$1006,4,0)),"",VLOOKUP($C131,'START LİSTE'!$B$6:$G$1006,4,0))</f>
      </c>
      <c r="F131" s="124">
        <f>IF(ISERROR(VLOOKUP($C131,'FERDİ SONUÇ'!$B$6:$H$819,6,0)),"",VLOOKUP($C131,'FERDİ SONUÇ'!$B$6:$H$819,6,0))</f>
      </c>
      <c r="G131" s="121" t="str">
        <f>IF(OR(E131="",F131="DQ",F131="DNF",F131="DNS",F131=""),"-",VLOOKUP(C131,'FERDİ SONUÇ'!$B$6:$H$819,7,0))</f>
        <v>-</v>
      </c>
      <c r="H131" s="110"/>
    </row>
    <row r="132" spans="1:8" s="120" customFormat="1" ht="19.5" customHeight="1">
      <c r="A132" s="112"/>
      <c r="B132" s="113"/>
      <c r="C132" s="114">
        <f>IF(A133="","",INDEX('TAKIM KAYIT'!$C$6:$C$305,MATCH(C133,'TAKIM KAYIT'!$C$6:$C$305,0)-1))</f>
      </c>
      <c r="D132" s="115">
        <f>IF(ISERROR(VLOOKUP($C132,'START LİSTE'!$B$6:$G$1006,2,0)),"",VLOOKUP($C132,'START LİSTE'!$B$6:$G$1006,2,0))</f>
      </c>
      <c r="E132" s="116">
        <f>IF(ISERROR(VLOOKUP($C132,'START LİSTE'!$B$6:$G$1006,4,0)),"",VLOOKUP($C132,'START LİSTE'!$B$6:$G$1006,4,0))</f>
      </c>
      <c r="F132" s="125">
        <f>IF(ISERROR(VLOOKUP($C132,'FERDİ SONUÇ'!$B$6:$H$819,6,0)),"",VLOOKUP($C132,'FERDİ SONUÇ'!$B$6:$H$819,6,0))</f>
      </c>
      <c r="G132" s="122" t="str">
        <f>IF(OR(E132="",F132="DQ",F132="DNF",F132="DNS",F132=""),"-",VLOOKUP(C132,'FERDİ SONUÇ'!$B$6:$H$819,7,0))</f>
        <v>-</v>
      </c>
      <c r="H132" s="118"/>
    </row>
    <row r="133" spans="1:8" s="120" customFormat="1" ht="19.5" customHeight="1">
      <c r="A133" s="112">
        <f>IF(ISERROR(SMALL('TAKIM KAYIT'!$A$6:$A$305,26)),"",SMALL('TAKIM KAYIT'!$A$6:$A$305,26))</f>
      </c>
      <c r="B133" s="113">
        <f>IF(A133="","",VLOOKUP(A133,'TAKIM KAYIT'!$A$6:$J$305,2,FALSE))</f>
      </c>
      <c r="C133" s="114">
        <f>IF(A133="","",VLOOKUP(A133,'TAKIM KAYIT'!$A$6:$J$305,3,FALSE))</f>
      </c>
      <c r="D133" s="115">
        <f>IF(ISERROR(VLOOKUP($C133,'START LİSTE'!$B$6:$G$1006,2,0)),"",VLOOKUP($C133,'START LİSTE'!$B$6:$G$1006,2,0))</f>
      </c>
      <c r="E133" s="116">
        <f>IF(ISERROR(VLOOKUP($C133,'START LİSTE'!$B$6:$G$1006,4,0)),"",VLOOKUP($C133,'START LİSTE'!$B$6:$G$1006,4,0))</f>
      </c>
      <c r="F133" s="125">
        <f>IF(ISERROR(VLOOKUP($C133,'FERDİ SONUÇ'!$B$6:$H$819,6,0)),"",VLOOKUP($C133,'FERDİ SONUÇ'!$B$6:$H$819,6,0))</f>
      </c>
      <c r="G133" s="122" t="str">
        <f>IF(OR(E133="",F133="DQ",F133="DNF",F133="DNS",F133=""),"-",VLOOKUP(C133,'FERDİ SONUÇ'!$B$6:$H$819,7,0))</f>
        <v>-</v>
      </c>
      <c r="H133" s="118">
        <f>IF(A133="","",VLOOKUP(A133,'TAKIM KAYIT'!$A$6:$K$305,10,FALSE))</f>
      </c>
    </row>
    <row r="134" spans="1:8" s="120" customFormat="1" ht="19.5" customHeight="1">
      <c r="A134" s="112"/>
      <c r="B134" s="113"/>
      <c r="C134" s="114">
        <f>IF(A133="","",INDEX('TAKIM KAYIT'!$C$6:$C$305,MATCH(C133,'TAKIM KAYIT'!$C$6:$C$305,0)+1))</f>
      </c>
      <c r="D134" s="115">
        <f>IF(ISERROR(VLOOKUP($C134,'START LİSTE'!$B$6:$G$1006,2,0)),"",VLOOKUP($C134,'START LİSTE'!$B$6:$G$1006,2,0))</f>
      </c>
      <c r="E134" s="116">
        <f>IF(ISERROR(VLOOKUP($C134,'START LİSTE'!$B$6:$G$1006,4,0)),"",VLOOKUP($C134,'START LİSTE'!$B$6:$G$1006,4,0))</f>
      </c>
      <c r="F134" s="125">
        <f>IF(ISERROR(VLOOKUP($C134,'FERDİ SONUÇ'!$B$6:$H$819,6,0)),"",VLOOKUP($C134,'FERDİ SONUÇ'!$B$6:$H$819,6,0))</f>
      </c>
      <c r="G134" s="122" t="str">
        <f>IF(OR(E134="",F134="DQ",F134="DNF",F134="DNS",F134=""),"-",VLOOKUP(C134,'FERDİ SONUÇ'!$B$6:$H$819,7,0))</f>
        <v>-</v>
      </c>
      <c r="H134" s="118"/>
    </row>
    <row r="135" spans="1:8" s="120" customFormat="1" ht="19.5" customHeight="1">
      <c r="A135" s="112"/>
      <c r="B135" s="113"/>
      <c r="C135" s="114">
        <f>IF(A133="","",INDEX('TAKIM KAYIT'!$C$6:$C$305,MATCH(C133,'TAKIM KAYIT'!$C$6:$C$305,0)+2))</f>
      </c>
      <c r="D135" s="115">
        <f>IF(ISERROR(VLOOKUP($C135,'START LİSTE'!$B$6:$G$1006,2,0)),"",VLOOKUP($C135,'START LİSTE'!$B$6:$G$1006,2,0))</f>
      </c>
      <c r="E135" s="116">
        <f>IF(ISERROR(VLOOKUP($C135,'START LİSTE'!$B$6:$G$1006,4,0)),"",VLOOKUP($C135,'START LİSTE'!$B$6:$G$1006,4,0))</f>
      </c>
      <c r="F135" s="125">
        <f>IF(ISERROR(VLOOKUP($C135,'FERDİ SONUÇ'!$B$6:$H$819,6,0)),"",VLOOKUP($C135,'FERDİ SONUÇ'!$B$6:$H$819,6,0))</f>
      </c>
      <c r="G135" s="122" t="str">
        <f>IF(OR(E135="",F135="DQ",F135="DNF",F135="DNS",F135=""),"-",VLOOKUP(C135,'FERDİ SONUÇ'!$B$6:$H$819,7,0))</f>
        <v>-</v>
      </c>
      <c r="H135" s="118"/>
    </row>
    <row r="136" spans="1:8" s="120" customFormat="1" ht="19.5" customHeight="1">
      <c r="A136" s="104"/>
      <c r="B136" s="105"/>
      <c r="C136" s="106">
        <f>IF(A138="","",INDEX('TAKIM KAYIT'!$C$6:$C$305,MATCH(C138,'TAKIM KAYIT'!$C$6:$C$305,0)-2))</f>
      </c>
      <c r="D136" s="119">
        <f>IF(ISERROR(VLOOKUP($C136,'START LİSTE'!$B$6:$G$1006,2,0)),"",VLOOKUP($C136,'START LİSTE'!$B$6:$G$1006,2,0))</f>
      </c>
      <c r="E136" s="108">
        <f>IF(ISERROR(VLOOKUP($C136,'START LİSTE'!$B$6:$G$1006,4,0)),"",VLOOKUP($C136,'START LİSTE'!$B$6:$G$1006,4,0))</f>
      </c>
      <c r="F136" s="124">
        <f>IF(ISERROR(VLOOKUP($C136,'FERDİ SONUÇ'!$B$6:$H$819,6,0)),"",VLOOKUP($C136,'FERDİ SONUÇ'!$B$6:$H$819,6,0))</f>
      </c>
      <c r="G136" s="121" t="str">
        <f>IF(OR(E136="",F136="DQ",F136="DNF",F136="DNS",F136=""),"-",VLOOKUP(C136,'FERDİ SONUÇ'!$B$6:$H$819,7,0))</f>
        <v>-</v>
      </c>
      <c r="H136" s="110"/>
    </row>
    <row r="137" spans="1:8" s="120" customFormat="1" ht="19.5" customHeight="1">
      <c r="A137" s="112"/>
      <c r="B137" s="113"/>
      <c r="C137" s="114">
        <f>IF(A138="","",INDEX('TAKIM KAYIT'!$C$6:$C$305,MATCH(C138,'TAKIM KAYIT'!$C$6:$C$305,0)-1))</f>
      </c>
      <c r="D137" s="115">
        <f>IF(ISERROR(VLOOKUP($C137,'START LİSTE'!$B$6:$G$1006,2,0)),"",VLOOKUP($C137,'START LİSTE'!$B$6:$G$1006,2,0))</f>
      </c>
      <c r="E137" s="116">
        <f>IF(ISERROR(VLOOKUP($C137,'START LİSTE'!$B$6:$G$1006,4,0)),"",VLOOKUP($C137,'START LİSTE'!$B$6:$G$1006,4,0))</f>
      </c>
      <c r="F137" s="125">
        <f>IF(ISERROR(VLOOKUP($C137,'FERDİ SONUÇ'!$B$6:$H$819,6,0)),"",VLOOKUP($C137,'FERDİ SONUÇ'!$B$6:$H$819,6,0))</f>
      </c>
      <c r="G137" s="122" t="str">
        <f>IF(OR(E137="",F137="DQ",F137="DNF",F137="DNS",F137=""),"-",VLOOKUP(C137,'FERDİ SONUÇ'!$B$6:$H$819,7,0))</f>
        <v>-</v>
      </c>
      <c r="H137" s="118"/>
    </row>
    <row r="138" spans="1:8" s="120" customFormat="1" ht="19.5" customHeight="1">
      <c r="A138" s="112">
        <f>IF(ISERROR(SMALL('TAKIM KAYIT'!$A$6:$A$305,27)),"",SMALL('TAKIM KAYIT'!$A$6:$A$305,27))</f>
      </c>
      <c r="B138" s="113">
        <f>IF(A138="","",VLOOKUP(A138,'TAKIM KAYIT'!$A$6:$J$305,2,FALSE))</f>
      </c>
      <c r="C138" s="114">
        <f>IF(A138="","",VLOOKUP(A138,'TAKIM KAYIT'!$A$6:$J$305,3,FALSE))</f>
      </c>
      <c r="D138" s="115">
        <f>IF(ISERROR(VLOOKUP($C138,'START LİSTE'!$B$6:$G$1006,2,0)),"",VLOOKUP($C138,'START LİSTE'!$B$6:$G$1006,2,0))</f>
      </c>
      <c r="E138" s="116">
        <f>IF(ISERROR(VLOOKUP($C138,'START LİSTE'!$B$6:$G$1006,4,0)),"",VLOOKUP($C138,'START LİSTE'!$B$6:$G$1006,4,0))</f>
      </c>
      <c r="F138" s="125">
        <f>IF(ISERROR(VLOOKUP($C138,'FERDİ SONUÇ'!$B$6:$H$819,6,0)),"",VLOOKUP($C138,'FERDİ SONUÇ'!$B$6:$H$819,6,0))</f>
      </c>
      <c r="G138" s="122" t="str">
        <f>IF(OR(E138="",F138="DQ",F138="DNF",F138="DNS",F138=""),"-",VLOOKUP(C138,'FERDİ SONUÇ'!$B$6:$H$819,7,0))</f>
        <v>-</v>
      </c>
      <c r="H138" s="118">
        <f>IF(A138="","",VLOOKUP(A138,'TAKIM KAYIT'!$A$6:$K$305,10,FALSE))</f>
      </c>
    </row>
    <row r="139" spans="1:8" s="120" customFormat="1" ht="19.5" customHeight="1">
      <c r="A139" s="112"/>
      <c r="B139" s="113"/>
      <c r="C139" s="114">
        <f>IF(A138="","",INDEX('TAKIM KAYIT'!$C$6:$C$305,MATCH(C138,'TAKIM KAYIT'!$C$6:$C$305,0)+1))</f>
      </c>
      <c r="D139" s="115">
        <f>IF(ISERROR(VLOOKUP($C139,'START LİSTE'!$B$6:$G$1006,2,0)),"",VLOOKUP($C139,'START LİSTE'!$B$6:$G$1006,2,0))</f>
      </c>
      <c r="E139" s="116">
        <f>IF(ISERROR(VLOOKUP($C139,'START LİSTE'!$B$6:$G$1006,4,0)),"",VLOOKUP($C139,'START LİSTE'!$B$6:$G$1006,4,0))</f>
      </c>
      <c r="F139" s="125">
        <f>IF(ISERROR(VLOOKUP($C139,'FERDİ SONUÇ'!$B$6:$H$819,6,0)),"",VLOOKUP($C139,'FERDİ SONUÇ'!$B$6:$H$819,6,0))</f>
      </c>
      <c r="G139" s="122" t="str">
        <f>IF(OR(E139="",F139="DQ",F139="DNF",F139="DNS",F139=""),"-",VLOOKUP(C139,'FERDİ SONUÇ'!$B$6:$H$819,7,0))</f>
        <v>-</v>
      </c>
      <c r="H139" s="118"/>
    </row>
    <row r="140" spans="1:8" s="120" customFormat="1" ht="19.5" customHeight="1">
      <c r="A140" s="112"/>
      <c r="B140" s="113"/>
      <c r="C140" s="114">
        <f>IF(A138="","",INDEX('TAKIM KAYIT'!$C$6:$C$305,MATCH(C138,'TAKIM KAYIT'!$C$6:$C$305,0)+2))</f>
      </c>
      <c r="D140" s="115">
        <f>IF(ISERROR(VLOOKUP($C140,'START LİSTE'!$B$6:$G$1006,2,0)),"",VLOOKUP($C140,'START LİSTE'!$B$6:$G$1006,2,0))</f>
      </c>
      <c r="E140" s="116">
        <f>IF(ISERROR(VLOOKUP($C140,'START LİSTE'!$B$6:$G$1006,4,0)),"",VLOOKUP($C140,'START LİSTE'!$B$6:$G$1006,4,0))</f>
      </c>
      <c r="F140" s="125">
        <f>IF(ISERROR(VLOOKUP($C140,'FERDİ SONUÇ'!$B$6:$H$819,6,0)),"",VLOOKUP($C140,'FERDİ SONUÇ'!$B$6:$H$819,6,0))</f>
      </c>
      <c r="G140" s="122" t="str">
        <f>IF(OR(E140="",F140="DQ",F140="DNF",F140="DNS",F140=""),"-",VLOOKUP(C140,'FERDİ SONUÇ'!$B$6:$H$819,7,0))</f>
        <v>-</v>
      </c>
      <c r="H140" s="118"/>
    </row>
    <row r="141" spans="1:8" s="120" customFormat="1" ht="19.5" customHeight="1">
      <c r="A141" s="104"/>
      <c r="B141" s="105"/>
      <c r="C141" s="106">
        <f>IF(A143="","",INDEX('TAKIM KAYIT'!$C$6:$C$305,MATCH(C143,'TAKIM KAYIT'!$C$6:$C$305,0)-2))</f>
      </c>
      <c r="D141" s="119">
        <f>IF(ISERROR(VLOOKUP($C141,'START LİSTE'!$B$6:$G$1006,2,0)),"",VLOOKUP($C141,'START LİSTE'!$B$6:$G$1006,2,0))</f>
      </c>
      <c r="E141" s="108">
        <f>IF(ISERROR(VLOOKUP($C141,'START LİSTE'!$B$6:$G$1006,4,0)),"",VLOOKUP($C141,'START LİSTE'!$B$6:$G$1006,4,0))</f>
      </c>
      <c r="F141" s="124">
        <f>IF(ISERROR(VLOOKUP($C141,'FERDİ SONUÇ'!$B$6:$H$819,6,0)),"",VLOOKUP($C141,'FERDİ SONUÇ'!$B$6:$H$819,6,0))</f>
      </c>
      <c r="G141" s="121" t="str">
        <f>IF(OR(E141="",F141="DQ",F141="DNF",F141="DNS",F141=""),"-",VLOOKUP(C141,'FERDİ SONUÇ'!$B$6:$H$819,7,0))</f>
        <v>-</v>
      </c>
      <c r="H141" s="110"/>
    </row>
    <row r="142" spans="1:8" s="120" customFormat="1" ht="19.5" customHeight="1">
      <c r="A142" s="112"/>
      <c r="B142" s="113"/>
      <c r="C142" s="114">
        <f>IF(A143="","",INDEX('TAKIM KAYIT'!$C$6:$C$305,MATCH(C143,'TAKIM KAYIT'!$C$6:$C$305,0)-1))</f>
      </c>
      <c r="D142" s="115">
        <f>IF(ISERROR(VLOOKUP($C142,'START LİSTE'!$B$6:$G$1006,2,0)),"",VLOOKUP($C142,'START LİSTE'!$B$6:$G$1006,2,0))</f>
      </c>
      <c r="E142" s="116">
        <f>IF(ISERROR(VLOOKUP($C142,'START LİSTE'!$B$6:$G$1006,4,0)),"",VLOOKUP($C142,'START LİSTE'!$B$6:$G$1006,4,0))</f>
      </c>
      <c r="F142" s="125">
        <f>IF(ISERROR(VLOOKUP($C142,'FERDİ SONUÇ'!$B$6:$H$819,6,0)),"",VLOOKUP($C142,'FERDİ SONUÇ'!$B$6:$H$819,6,0))</f>
      </c>
      <c r="G142" s="122" t="str">
        <f>IF(OR(E142="",F142="DQ",F142="DNF",F142="DNS",F142=""),"-",VLOOKUP(C142,'FERDİ SONUÇ'!$B$6:$H$819,7,0))</f>
        <v>-</v>
      </c>
      <c r="H142" s="118"/>
    </row>
    <row r="143" spans="1:8" s="120" customFormat="1" ht="19.5" customHeight="1">
      <c r="A143" s="112">
        <f>IF(ISERROR(SMALL('TAKIM KAYIT'!$A$6:$A$305,28)),"",SMALL('TAKIM KAYIT'!$A$6:$A$305,28))</f>
      </c>
      <c r="B143" s="113">
        <f>IF(A143="","",VLOOKUP(A143,'TAKIM KAYIT'!$A$6:$J$305,2,FALSE))</f>
      </c>
      <c r="C143" s="114">
        <f>IF(A143="","",VLOOKUP(A143,'TAKIM KAYIT'!$A$6:$J$305,3,FALSE))</f>
      </c>
      <c r="D143" s="115">
        <f>IF(ISERROR(VLOOKUP($C143,'START LİSTE'!$B$6:$G$1006,2,0)),"",VLOOKUP($C143,'START LİSTE'!$B$6:$G$1006,2,0))</f>
      </c>
      <c r="E143" s="116">
        <f>IF(ISERROR(VLOOKUP($C143,'START LİSTE'!$B$6:$G$1006,4,0)),"",VLOOKUP($C143,'START LİSTE'!$B$6:$G$1006,4,0))</f>
      </c>
      <c r="F143" s="125">
        <f>IF(ISERROR(VLOOKUP($C143,'FERDİ SONUÇ'!$B$6:$H$819,6,0)),"",VLOOKUP($C143,'FERDİ SONUÇ'!$B$6:$H$819,6,0))</f>
      </c>
      <c r="G143" s="122" t="str">
        <f>IF(OR(E143="",F143="DQ",F143="DNF",F143="DNS",F143=""),"-",VLOOKUP(C143,'FERDİ SONUÇ'!$B$6:$H$819,7,0))</f>
        <v>-</v>
      </c>
      <c r="H143" s="118">
        <f>IF(A143="","",VLOOKUP(A143,'TAKIM KAYIT'!$A$6:$K$305,10,FALSE))</f>
      </c>
    </row>
    <row r="144" spans="1:8" s="120" customFormat="1" ht="19.5" customHeight="1">
      <c r="A144" s="112"/>
      <c r="B144" s="113"/>
      <c r="C144" s="114">
        <f>IF(A143="","",INDEX('TAKIM KAYIT'!$C$6:$C$305,MATCH(C143,'TAKIM KAYIT'!$C$6:$C$305,0)+1))</f>
      </c>
      <c r="D144" s="115">
        <f>IF(ISERROR(VLOOKUP($C144,'START LİSTE'!$B$6:$G$1006,2,0)),"",VLOOKUP($C144,'START LİSTE'!$B$6:$G$1006,2,0))</f>
      </c>
      <c r="E144" s="116">
        <f>IF(ISERROR(VLOOKUP($C144,'START LİSTE'!$B$6:$G$1006,4,0)),"",VLOOKUP($C144,'START LİSTE'!$B$6:$G$1006,4,0))</f>
      </c>
      <c r="F144" s="125">
        <f>IF(ISERROR(VLOOKUP($C144,'FERDİ SONUÇ'!$B$6:$H$819,6,0)),"",VLOOKUP($C144,'FERDİ SONUÇ'!$B$6:$H$819,6,0))</f>
      </c>
      <c r="G144" s="122" t="str">
        <f>IF(OR(E144="",F144="DQ",F144="DNF",F144="DNS",F144=""),"-",VLOOKUP(C144,'FERDİ SONUÇ'!$B$6:$H$819,7,0))</f>
        <v>-</v>
      </c>
      <c r="H144" s="118"/>
    </row>
    <row r="145" spans="1:8" s="120" customFormat="1" ht="19.5" customHeight="1">
      <c r="A145" s="112"/>
      <c r="B145" s="113"/>
      <c r="C145" s="114">
        <f>IF(A143="","",INDEX('TAKIM KAYIT'!$C$6:$C$305,MATCH(C143,'TAKIM KAYIT'!$C$6:$C$305,0)+2))</f>
      </c>
      <c r="D145" s="115">
        <f>IF(ISERROR(VLOOKUP($C145,'START LİSTE'!$B$6:$G$1006,2,0)),"",VLOOKUP($C145,'START LİSTE'!$B$6:$G$1006,2,0))</f>
      </c>
      <c r="E145" s="116">
        <f>IF(ISERROR(VLOOKUP($C145,'START LİSTE'!$B$6:$G$1006,4,0)),"",VLOOKUP($C145,'START LİSTE'!$B$6:$G$1006,4,0))</f>
      </c>
      <c r="F145" s="125">
        <f>IF(ISERROR(VLOOKUP($C145,'FERDİ SONUÇ'!$B$6:$H$819,6,0)),"",VLOOKUP($C145,'FERDİ SONUÇ'!$B$6:$H$819,6,0))</f>
      </c>
      <c r="G145" s="122" t="str">
        <f>IF(OR(E145="",F145="DQ",F145="DNF",F145="DNS",F145=""),"-",VLOOKUP(C145,'FERDİ SONUÇ'!$B$6:$H$819,7,0))</f>
        <v>-</v>
      </c>
      <c r="H145" s="118"/>
    </row>
    <row r="146" spans="1:8" s="120" customFormat="1" ht="19.5" customHeight="1">
      <c r="A146" s="104"/>
      <c r="B146" s="105"/>
      <c r="C146" s="106">
        <f>IF(A148="","",INDEX('TAKIM KAYIT'!$C$6:$C$305,MATCH(C148,'TAKIM KAYIT'!$C$6:$C$305,0)-2))</f>
      </c>
      <c r="D146" s="119">
        <f>IF(ISERROR(VLOOKUP($C146,'START LİSTE'!$B$6:$G$1006,2,0)),"",VLOOKUP($C146,'START LİSTE'!$B$6:$G$1006,2,0))</f>
      </c>
      <c r="E146" s="108">
        <f>IF(ISERROR(VLOOKUP($C146,'START LİSTE'!$B$6:$G$1006,4,0)),"",VLOOKUP($C146,'START LİSTE'!$B$6:$G$1006,4,0))</f>
      </c>
      <c r="F146" s="124">
        <f>IF(ISERROR(VLOOKUP($C146,'FERDİ SONUÇ'!$B$6:$H$819,6,0)),"",VLOOKUP($C146,'FERDİ SONUÇ'!$B$6:$H$819,6,0))</f>
      </c>
      <c r="G146" s="121" t="str">
        <f>IF(OR(E146="",F146="DQ",F146="DNF",F146="DNS",F146=""),"-",VLOOKUP(C146,'FERDİ SONUÇ'!$B$6:$H$819,7,0))</f>
        <v>-</v>
      </c>
      <c r="H146" s="110"/>
    </row>
    <row r="147" spans="1:8" s="120" customFormat="1" ht="19.5" customHeight="1">
      <c r="A147" s="112"/>
      <c r="B147" s="113"/>
      <c r="C147" s="114">
        <f>IF(A148="","",INDEX('TAKIM KAYIT'!$C$6:$C$305,MATCH(C148,'TAKIM KAYIT'!$C$6:$C$305,0)-1))</f>
      </c>
      <c r="D147" s="115">
        <f>IF(ISERROR(VLOOKUP($C147,'START LİSTE'!$B$6:$G$1006,2,0)),"",VLOOKUP($C147,'START LİSTE'!$B$6:$G$1006,2,0))</f>
      </c>
      <c r="E147" s="116">
        <f>IF(ISERROR(VLOOKUP($C147,'START LİSTE'!$B$6:$G$1006,4,0)),"",VLOOKUP($C147,'START LİSTE'!$B$6:$G$1006,4,0))</f>
      </c>
      <c r="F147" s="125">
        <f>IF(ISERROR(VLOOKUP($C147,'FERDİ SONUÇ'!$B$6:$H$819,6,0)),"",VLOOKUP($C147,'FERDİ SONUÇ'!$B$6:$H$819,6,0))</f>
      </c>
      <c r="G147" s="122" t="str">
        <f>IF(OR(E147="",F147="DQ",F147="DNF",F147="DNS",F147=""),"-",VLOOKUP(C147,'FERDİ SONUÇ'!$B$6:$H$819,7,0))</f>
        <v>-</v>
      </c>
      <c r="H147" s="118"/>
    </row>
    <row r="148" spans="1:8" s="120" customFormat="1" ht="19.5" customHeight="1">
      <c r="A148" s="112">
        <f>IF(ISERROR(SMALL('TAKIM KAYIT'!$A$6:$A$305,29)),"",SMALL('TAKIM KAYIT'!$A$6:$A$305,29))</f>
      </c>
      <c r="B148" s="113">
        <f>IF(A148="","",VLOOKUP(A148,'TAKIM KAYIT'!$A$6:$J$305,2,FALSE))</f>
      </c>
      <c r="C148" s="114">
        <f>IF(A148="","",VLOOKUP(A148,'TAKIM KAYIT'!$A$6:$J$305,3,FALSE))</f>
      </c>
      <c r="D148" s="115">
        <f>IF(ISERROR(VLOOKUP($C148,'START LİSTE'!$B$6:$G$1006,2,0)),"",VLOOKUP($C148,'START LİSTE'!$B$6:$G$1006,2,0))</f>
      </c>
      <c r="E148" s="116">
        <f>IF(ISERROR(VLOOKUP($C148,'START LİSTE'!$B$6:$G$1006,4,0)),"",VLOOKUP($C148,'START LİSTE'!$B$6:$G$1006,4,0))</f>
      </c>
      <c r="F148" s="125">
        <f>IF(ISERROR(VLOOKUP($C148,'FERDİ SONUÇ'!$B$6:$H$819,6,0)),"",VLOOKUP($C148,'FERDİ SONUÇ'!$B$6:$H$819,6,0))</f>
      </c>
      <c r="G148" s="122" t="str">
        <f>IF(OR(E148="",F148="DQ",F148="DNF",F148="DNS",F148=""),"-",VLOOKUP(C148,'FERDİ SONUÇ'!$B$6:$H$819,7,0))</f>
        <v>-</v>
      </c>
      <c r="H148" s="118">
        <f>IF(A148="","",VLOOKUP(A148,'TAKIM KAYIT'!$A$6:$K$305,10,FALSE))</f>
      </c>
    </row>
    <row r="149" spans="1:8" s="120" customFormat="1" ht="19.5" customHeight="1">
      <c r="A149" s="112"/>
      <c r="B149" s="113"/>
      <c r="C149" s="114">
        <f>IF(A148="","",INDEX('TAKIM KAYIT'!$C$6:$C$305,MATCH(C148,'TAKIM KAYIT'!$C$6:$C$305,0)+1))</f>
      </c>
      <c r="D149" s="115">
        <f>IF(ISERROR(VLOOKUP($C149,'START LİSTE'!$B$6:$G$1006,2,0)),"",VLOOKUP($C149,'START LİSTE'!$B$6:$G$1006,2,0))</f>
      </c>
      <c r="E149" s="116">
        <f>IF(ISERROR(VLOOKUP($C149,'START LİSTE'!$B$6:$G$1006,4,0)),"",VLOOKUP($C149,'START LİSTE'!$B$6:$G$1006,4,0))</f>
      </c>
      <c r="F149" s="125">
        <f>IF(ISERROR(VLOOKUP($C149,'FERDİ SONUÇ'!$B$6:$H$819,6,0)),"",VLOOKUP($C149,'FERDİ SONUÇ'!$B$6:$H$819,6,0))</f>
      </c>
      <c r="G149" s="122" t="str">
        <f>IF(OR(E149="",F149="DQ",F149="DNF",F149="DNS",F149=""),"-",VLOOKUP(C149,'FERDİ SONUÇ'!$B$6:$H$819,7,0))</f>
        <v>-</v>
      </c>
      <c r="H149" s="118"/>
    </row>
    <row r="150" spans="1:8" s="120" customFormat="1" ht="19.5" customHeight="1">
      <c r="A150" s="112"/>
      <c r="B150" s="113"/>
      <c r="C150" s="114">
        <f>IF(A148="","",INDEX('TAKIM KAYIT'!$C$6:$C$305,MATCH(C148,'TAKIM KAYIT'!$C$6:$C$305,0)+2))</f>
      </c>
      <c r="D150" s="115">
        <f>IF(ISERROR(VLOOKUP($C150,'START LİSTE'!$B$6:$G$1006,2,0)),"",VLOOKUP($C150,'START LİSTE'!$B$6:$G$1006,2,0))</f>
      </c>
      <c r="E150" s="116">
        <f>IF(ISERROR(VLOOKUP($C150,'START LİSTE'!$B$6:$G$1006,4,0)),"",VLOOKUP($C150,'START LİSTE'!$B$6:$G$1006,4,0))</f>
      </c>
      <c r="F150" s="125">
        <f>IF(ISERROR(VLOOKUP($C150,'FERDİ SONUÇ'!$B$6:$H$819,6,0)),"",VLOOKUP($C150,'FERDİ SONUÇ'!$B$6:$H$819,6,0))</f>
      </c>
      <c r="G150" s="122" t="str">
        <f>IF(OR(E150="",F150="DQ",F150="DNF",F150="DNS",F150=""),"-",VLOOKUP(C150,'FERDİ SONUÇ'!$B$6:$H$819,7,0))</f>
        <v>-</v>
      </c>
      <c r="H150" s="118"/>
    </row>
    <row r="151" spans="1:8" s="120" customFormat="1" ht="19.5" customHeight="1">
      <c r="A151" s="104"/>
      <c r="B151" s="105"/>
      <c r="C151" s="106">
        <f>IF(A153="","",INDEX('TAKIM KAYIT'!$C$6:$C$305,MATCH(C153,'TAKIM KAYIT'!$C$6:$C$305,0)-2))</f>
      </c>
      <c r="D151" s="119">
        <f>IF(ISERROR(VLOOKUP($C151,'START LİSTE'!$B$6:$G$1006,2,0)),"",VLOOKUP($C151,'START LİSTE'!$B$6:$G$1006,2,0))</f>
      </c>
      <c r="E151" s="108">
        <f>IF(ISERROR(VLOOKUP($C151,'START LİSTE'!$B$6:$G$1006,4,0)),"",VLOOKUP($C151,'START LİSTE'!$B$6:$G$1006,4,0))</f>
      </c>
      <c r="F151" s="124">
        <f>IF(ISERROR(VLOOKUP($C151,'FERDİ SONUÇ'!$B$6:$H$819,6,0)),"",VLOOKUP($C151,'FERDİ SONUÇ'!$B$6:$H$819,6,0))</f>
      </c>
      <c r="G151" s="121" t="str">
        <f>IF(OR(E151="",F151="DQ",F151="DNF",F151="DNS",F151=""),"-",VLOOKUP(C151,'FERDİ SONUÇ'!$B$6:$H$819,7,0))</f>
        <v>-</v>
      </c>
      <c r="H151" s="110"/>
    </row>
    <row r="152" spans="1:8" s="120" customFormat="1" ht="19.5" customHeight="1">
      <c r="A152" s="112"/>
      <c r="B152" s="113"/>
      <c r="C152" s="114">
        <f>IF(A153="","",INDEX('TAKIM KAYIT'!$C$6:$C$305,MATCH(C153,'TAKIM KAYIT'!$C$6:$C$305,0)-1))</f>
      </c>
      <c r="D152" s="115">
        <f>IF(ISERROR(VLOOKUP($C152,'START LİSTE'!$B$6:$G$1006,2,0)),"",VLOOKUP($C152,'START LİSTE'!$B$6:$G$1006,2,0))</f>
      </c>
      <c r="E152" s="116">
        <f>IF(ISERROR(VLOOKUP($C152,'START LİSTE'!$B$6:$G$1006,4,0)),"",VLOOKUP($C152,'START LİSTE'!$B$6:$G$1006,4,0))</f>
      </c>
      <c r="F152" s="125">
        <f>IF(ISERROR(VLOOKUP($C152,'FERDİ SONUÇ'!$B$6:$H$819,6,0)),"",VLOOKUP($C152,'FERDİ SONUÇ'!$B$6:$H$819,6,0))</f>
      </c>
      <c r="G152" s="122" t="str">
        <f>IF(OR(E152="",F152="DQ",F152="DNF",F152="DNS",F152=""),"-",VLOOKUP(C152,'FERDİ SONUÇ'!$B$6:$H$819,7,0))</f>
        <v>-</v>
      </c>
      <c r="H152" s="118"/>
    </row>
    <row r="153" spans="1:8" s="120" customFormat="1" ht="19.5" customHeight="1">
      <c r="A153" s="112">
        <f>IF(ISERROR(SMALL('TAKIM KAYIT'!$A$6:$A$305,30)),"",SMALL('TAKIM KAYIT'!$A$6:$A$305,30))</f>
      </c>
      <c r="B153" s="113">
        <f>IF(A153="","",VLOOKUP(A153,'TAKIM KAYIT'!$A$6:$J$305,2,FALSE))</f>
      </c>
      <c r="C153" s="114">
        <f>IF(A153="","",VLOOKUP(A153,'TAKIM KAYIT'!$A$6:$J$305,3,FALSE))</f>
      </c>
      <c r="D153" s="115">
        <f>IF(ISERROR(VLOOKUP($C153,'START LİSTE'!$B$6:$G$1006,2,0)),"",VLOOKUP($C153,'START LİSTE'!$B$6:$G$1006,2,0))</f>
      </c>
      <c r="E153" s="116">
        <f>IF(ISERROR(VLOOKUP($C153,'START LİSTE'!$B$6:$G$1006,4,0)),"",VLOOKUP($C153,'START LİSTE'!$B$6:$G$1006,4,0))</f>
      </c>
      <c r="F153" s="125">
        <f>IF(ISERROR(VLOOKUP($C153,'FERDİ SONUÇ'!$B$6:$H$819,6,0)),"",VLOOKUP($C153,'FERDİ SONUÇ'!$B$6:$H$819,6,0))</f>
      </c>
      <c r="G153" s="122" t="str">
        <f>IF(OR(E153="",F153="DQ",F153="DNF",F153="DNS",F153=""),"-",VLOOKUP(C153,'FERDİ SONUÇ'!$B$6:$H$819,7,0))</f>
        <v>-</v>
      </c>
      <c r="H153" s="118">
        <f>IF(A153="","",VLOOKUP(A153,'TAKIM KAYIT'!$A$6:$K$305,10,FALSE))</f>
      </c>
    </row>
    <row r="154" spans="1:8" s="120" customFormat="1" ht="19.5" customHeight="1">
      <c r="A154" s="112"/>
      <c r="B154" s="113"/>
      <c r="C154" s="114">
        <f>IF(A153="","",INDEX('TAKIM KAYIT'!$C$6:$C$305,MATCH(C153,'TAKIM KAYIT'!$C$6:$C$305,0)+1))</f>
      </c>
      <c r="D154" s="115">
        <f>IF(ISERROR(VLOOKUP($C154,'START LİSTE'!$B$6:$G$1006,2,0)),"",VLOOKUP($C154,'START LİSTE'!$B$6:$G$1006,2,0))</f>
      </c>
      <c r="E154" s="116">
        <f>IF(ISERROR(VLOOKUP($C154,'START LİSTE'!$B$6:$G$1006,4,0)),"",VLOOKUP($C154,'START LİSTE'!$B$6:$G$1006,4,0))</f>
      </c>
      <c r="F154" s="125">
        <f>IF(ISERROR(VLOOKUP($C154,'FERDİ SONUÇ'!$B$6:$H$819,6,0)),"",VLOOKUP($C154,'FERDİ SONUÇ'!$B$6:$H$819,6,0))</f>
      </c>
      <c r="G154" s="122" t="str">
        <f>IF(OR(E154="",F154="DQ",F154="DNF",F154="DNS",F154=""),"-",VLOOKUP(C154,'FERDİ SONUÇ'!$B$6:$H$819,7,0))</f>
        <v>-</v>
      </c>
      <c r="H154" s="118"/>
    </row>
    <row r="155" spans="1:8" s="120" customFormat="1" ht="19.5" customHeight="1">
      <c r="A155" s="112"/>
      <c r="B155" s="113"/>
      <c r="C155" s="114">
        <f>IF(A153="","",INDEX('TAKIM KAYIT'!$C$6:$C$305,MATCH(C153,'TAKIM KAYIT'!$C$6:$C$305,0)+2))</f>
      </c>
      <c r="D155" s="115">
        <f>IF(ISERROR(VLOOKUP($C155,'START LİSTE'!$B$6:$G$1006,2,0)),"",VLOOKUP($C155,'START LİSTE'!$B$6:$G$1006,2,0))</f>
      </c>
      <c r="E155" s="116">
        <f>IF(ISERROR(VLOOKUP($C155,'START LİSTE'!$B$6:$G$1006,4,0)),"",VLOOKUP($C155,'START LİSTE'!$B$6:$G$1006,4,0))</f>
      </c>
      <c r="F155" s="125">
        <f>IF(ISERROR(VLOOKUP($C155,'FERDİ SONUÇ'!$B$6:$H$819,6,0)),"",VLOOKUP($C155,'FERDİ SONUÇ'!$B$6:$H$819,6,0))</f>
      </c>
      <c r="G155" s="122" t="str">
        <f>IF(OR(E155="",F155="DQ",F155="DNF",F155="DNS",F155=""),"-",VLOOKUP(C155,'FERDİ SONUÇ'!$B$6:$H$819,7,0))</f>
        <v>-</v>
      </c>
      <c r="H155" s="118"/>
    </row>
    <row r="156" spans="1:8" s="111" customFormat="1" ht="19.5" customHeight="1">
      <c r="A156" s="104"/>
      <c r="B156" s="105"/>
      <c r="C156" s="106">
        <f>IF(A158="","",INDEX('TAKIM KAYIT'!$C$6:$C$305,MATCH(C158,'TAKIM KAYIT'!$C$6:$C$305,0)-2))</f>
      </c>
      <c r="D156" s="107">
        <f>IF(ISERROR(VLOOKUP($C156,'START LİSTE'!$B$6:$G$1006,2,0)),"",VLOOKUP($C156,'START LİSTE'!$B$6:$G$1006,2,0))</f>
      </c>
      <c r="E156" s="108">
        <f>IF(ISERROR(VLOOKUP($C156,'START LİSTE'!$B$6:$G$1006,4,0)),"",VLOOKUP($C156,'START LİSTE'!$B$6:$G$1006,4,0))</f>
      </c>
      <c r="F156" s="124">
        <f>IF(ISERROR(VLOOKUP($C156,'FERDİ SONUÇ'!$B$6:$H$819,6,0)),"",VLOOKUP($C156,'FERDİ SONUÇ'!$B$6:$H$819,6,0))</f>
      </c>
      <c r="G156" s="109" t="str">
        <f>IF(OR(E156="",F156="DQ",F156="DNF",F156="DNS",F156=""),"-",VLOOKUP(C156,'FERDİ SONUÇ'!$B$6:$H$819,7,0))</f>
        <v>-</v>
      </c>
      <c r="H156" s="110"/>
    </row>
    <row r="157" spans="1:8" s="111" customFormat="1" ht="19.5" customHeight="1">
      <c r="A157" s="112"/>
      <c r="B157" s="113"/>
      <c r="C157" s="114">
        <f>IF(A158="","",INDEX('TAKIM KAYIT'!$C$6:$C$305,MATCH(C158,'TAKIM KAYIT'!$C$6:$C$305,0)-1))</f>
      </c>
      <c r="D157" s="115">
        <f>IF(ISERROR(VLOOKUP($C157,'START LİSTE'!$B$6:$G$1006,2,0)),"",VLOOKUP($C157,'START LİSTE'!$B$6:$G$1006,2,0))</f>
      </c>
      <c r="E157" s="116">
        <f>IF(ISERROR(VLOOKUP($C157,'START LİSTE'!$B$6:$G$1006,4,0)),"",VLOOKUP($C157,'START LİSTE'!$B$6:$G$1006,4,0))</f>
      </c>
      <c r="F157" s="125">
        <f>IF(ISERROR(VLOOKUP($C157,'FERDİ SONUÇ'!$B$6:$H$819,6,0)),"",VLOOKUP($C157,'FERDİ SONUÇ'!$B$6:$H$819,6,0))</f>
      </c>
      <c r="G157" s="117" t="str">
        <f>IF(OR(E157="",F157="DQ",F157="DNF",F157="DNS",F157=""),"-",VLOOKUP(C157,'FERDİ SONUÇ'!$B$6:$H$819,7,0))</f>
        <v>-</v>
      </c>
      <c r="H157" s="118"/>
    </row>
    <row r="158" spans="1:8" s="111" customFormat="1" ht="19.5" customHeight="1">
      <c r="A158" s="112">
        <f>IF(ISERROR(SMALL('TAKIM KAYIT'!$A$6:$A$305,31)),"",SMALL('TAKIM KAYIT'!$A$6:$A$305,31))</f>
      </c>
      <c r="B158" s="113">
        <f>IF(A158="","",VLOOKUP(A158,'TAKIM KAYIT'!$A$6:$J$305,2,FALSE))</f>
      </c>
      <c r="C158" s="114">
        <f>IF(A158="","",VLOOKUP(A158,'TAKIM KAYIT'!$A$6:$J$305,3,FALSE))</f>
      </c>
      <c r="D158" s="115">
        <f>IF(ISERROR(VLOOKUP($C158,'START LİSTE'!$B$6:$G$1006,2,0)),"",VLOOKUP($C158,'START LİSTE'!$B$6:$G$1006,2,0))</f>
      </c>
      <c r="E158" s="116">
        <f>IF(ISERROR(VLOOKUP($C158,'START LİSTE'!$B$6:$G$1006,4,0)),"",VLOOKUP($C158,'START LİSTE'!$B$6:$G$1006,4,0))</f>
      </c>
      <c r="F158" s="125">
        <f>IF(ISERROR(VLOOKUP($C158,'FERDİ SONUÇ'!$B$6:$H$819,6,0)),"",VLOOKUP($C158,'FERDİ SONUÇ'!$B$6:$H$819,6,0))</f>
      </c>
      <c r="G158" s="117" t="str">
        <f>IF(OR(E158="",F158="DQ",F158="DNF",F158="DNS",F158=""),"-",VLOOKUP(C158,'FERDİ SONUÇ'!$B$6:$H$819,7,0))</f>
        <v>-</v>
      </c>
      <c r="H158" s="118">
        <f>IF(A158="","",VLOOKUP(A158,'TAKIM KAYIT'!$A$6:$K$305,10,FALSE))</f>
      </c>
    </row>
    <row r="159" spans="1:8" s="111" customFormat="1" ht="19.5" customHeight="1">
      <c r="A159" s="112"/>
      <c r="B159" s="113"/>
      <c r="C159" s="114">
        <f>IF(A158="","",INDEX('TAKIM KAYIT'!$C$6:$C$305,MATCH(C158,'TAKIM KAYIT'!$C$6:$C$305,0)+1))</f>
      </c>
      <c r="D159" s="115">
        <f>IF(ISERROR(VLOOKUP($C159,'START LİSTE'!$B$6:$G$1006,2,0)),"",VLOOKUP($C159,'START LİSTE'!$B$6:$G$1006,2,0))</f>
      </c>
      <c r="E159" s="116">
        <f>IF(ISERROR(VLOOKUP($C159,'START LİSTE'!$B$6:$G$1006,4,0)),"",VLOOKUP($C159,'START LİSTE'!$B$6:$G$1006,4,0))</f>
      </c>
      <c r="F159" s="125">
        <f>IF(ISERROR(VLOOKUP($C159,'FERDİ SONUÇ'!$B$6:$H$819,6,0)),"",VLOOKUP($C159,'FERDİ SONUÇ'!$B$6:$H$819,6,0))</f>
      </c>
      <c r="G159" s="117" t="str">
        <f>IF(OR(E159="",F159="DQ",F159="DNF",F159="DNS",F159=""),"-",VLOOKUP(C159,'FERDİ SONUÇ'!$B$6:$H$819,7,0))</f>
        <v>-</v>
      </c>
      <c r="H159" s="118"/>
    </row>
    <row r="160" spans="1:8" s="111" customFormat="1" ht="19.5" customHeight="1">
      <c r="A160" s="112"/>
      <c r="B160" s="113"/>
      <c r="C160" s="114">
        <f>IF(A158="","",INDEX('TAKIM KAYIT'!$C$6:$C$305,MATCH(C158,'TAKIM KAYIT'!$C$6:$C$305,0)+2))</f>
      </c>
      <c r="D160" s="115">
        <f>IF(ISERROR(VLOOKUP($C160,'START LİSTE'!$B$6:$G$1006,2,0)),"",VLOOKUP($C160,'START LİSTE'!$B$6:$G$1006,2,0))</f>
      </c>
      <c r="E160" s="116">
        <f>IF(ISERROR(VLOOKUP($C160,'START LİSTE'!$B$6:$G$1006,4,0)),"",VLOOKUP($C160,'START LİSTE'!$B$6:$G$1006,4,0))</f>
      </c>
      <c r="F160" s="125">
        <f>IF(ISERROR(VLOOKUP($C160,'FERDİ SONUÇ'!$B$6:$H$819,6,0)),"",VLOOKUP($C160,'FERDİ SONUÇ'!$B$6:$H$819,6,0))</f>
      </c>
      <c r="G160" s="117" t="str">
        <f>IF(OR(E160="",F160="DQ",F160="DNF",F160="DNS",F160=""),"-",VLOOKUP(C160,'FERDİ SONUÇ'!$B$6:$H$819,7,0))</f>
        <v>-</v>
      </c>
      <c r="H160" s="118"/>
    </row>
    <row r="161" spans="1:8" s="120" customFormat="1" ht="19.5" customHeight="1">
      <c r="A161" s="104"/>
      <c r="B161" s="105"/>
      <c r="C161" s="106">
        <f>IF(A163="","",INDEX('TAKIM KAYIT'!$C$6:$C$305,MATCH(C163,'TAKIM KAYIT'!$C$6:$C$305,0)-2))</f>
      </c>
      <c r="D161" s="119">
        <f>IF(ISERROR(VLOOKUP($C161,'START LİSTE'!$B$6:$G$1006,2,0)),"",VLOOKUP($C161,'START LİSTE'!$B$6:$G$1006,2,0))</f>
      </c>
      <c r="E161" s="108">
        <f>IF(ISERROR(VLOOKUP($C161,'START LİSTE'!$B$6:$G$1006,4,0)),"",VLOOKUP($C161,'START LİSTE'!$B$6:$G$1006,4,0))</f>
      </c>
      <c r="F161" s="124">
        <f>IF(ISERROR(VLOOKUP($C161,'FERDİ SONUÇ'!$B$6:$H$819,6,0)),"",VLOOKUP($C161,'FERDİ SONUÇ'!$B$6:$H$819,6,0))</f>
      </c>
      <c r="G161" s="109" t="str">
        <f>IF(OR(E161="",F161="DQ",F161="DNF",F161="DNS",F161=""),"-",VLOOKUP(C161,'FERDİ SONUÇ'!$B$6:$H$819,7,0))</f>
        <v>-</v>
      </c>
      <c r="H161" s="110"/>
    </row>
    <row r="162" spans="1:8" s="120" customFormat="1" ht="19.5" customHeight="1">
      <c r="A162" s="112"/>
      <c r="B162" s="113"/>
      <c r="C162" s="114">
        <f>IF(A163="","",INDEX('TAKIM KAYIT'!$C$6:$C$305,MATCH(C163,'TAKIM KAYIT'!$C$6:$C$305,0)-1))</f>
      </c>
      <c r="D162" s="115">
        <f>IF(ISERROR(VLOOKUP($C162,'START LİSTE'!$B$6:$G$1006,2,0)),"",VLOOKUP($C162,'START LİSTE'!$B$6:$G$1006,2,0))</f>
      </c>
      <c r="E162" s="116">
        <f>IF(ISERROR(VLOOKUP($C162,'START LİSTE'!$B$6:$G$1006,4,0)),"",VLOOKUP($C162,'START LİSTE'!$B$6:$G$1006,4,0))</f>
      </c>
      <c r="F162" s="125">
        <f>IF(ISERROR(VLOOKUP($C162,'FERDİ SONUÇ'!$B$6:$H$819,6,0)),"",VLOOKUP($C162,'FERDİ SONUÇ'!$B$6:$H$819,6,0))</f>
      </c>
      <c r="G162" s="117" t="str">
        <f>IF(OR(E162="",F162="DQ",F162="DNF",F162="DNS",F162=""),"-",VLOOKUP(C162,'FERDİ SONUÇ'!$B$6:$H$819,7,0))</f>
        <v>-</v>
      </c>
      <c r="H162" s="118"/>
    </row>
    <row r="163" spans="1:8" s="120" customFormat="1" ht="19.5" customHeight="1">
      <c r="A163" s="112">
        <f>IF(ISERROR(SMALL('TAKIM KAYIT'!$A$6:$A$305,32)),"",SMALL('TAKIM KAYIT'!$A$6:$A$305,32))</f>
      </c>
      <c r="B163" s="113">
        <f>IF(A163="","",VLOOKUP(A163,'TAKIM KAYIT'!$A$6:$J$305,2,FALSE))</f>
      </c>
      <c r="C163" s="114">
        <f>IF(A163="","",VLOOKUP(A163,'TAKIM KAYIT'!$A$6:$J$305,3,FALSE))</f>
      </c>
      <c r="D163" s="115">
        <f>IF(ISERROR(VLOOKUP($C163,'START LİSTE'!$B$6:$G$1006,2,0)),"",VLOOKUP($C163,'START LİSTE'!$B$6:$G$1006,2,0))</f>
      </c>
      <c r="E163" s="116">
        <f>IF(ISERROR(VLOOKUP($C163,'START LİSTE'!$B$6:$G$1006,4,0)),"",VLOOKUP($C163,'START LİSTE'!$B$6:$G$1006,4,0))</f>
      </c>
      <c r="F163" s="125">
        <f>IF(ISERROR(VLOOKUP($C163,'FERDİ SONUÇ'!$B$6:$H$819,6,0)),"",VLOOKUP($C163,'FERDİ SONUÇ'!$B$6:$H$819,6,0))</f>
      </c>
      <c r="G163" s="117" t="str">
        <f>IF(OR(E163="",F163="DQ",F163="DNF",F163="DNS",F163=""),"-",VLOOKUP(C163,'FERDİ SONUÇ'!$B$6:$H$819,7,0))</f>
        <v>-</v>
      </c>
      <c r="H163" s="118">
        <f>IF(A163="","",VLOOKUP(A163,'TAKIM KAYIT'!$A$6:$K$305,10,FALSE))</f>
      </c>
    </row>
    <row r="164" spans="1:8" s="120" customFormat="1" ht="19.5" customHeight="1">
      <c r="A164" s="112"/>
      <c r="B164" s="113"/>
      <c r="C164" s="114">
        <f>IF(A163="","",INDEX('TAKIM KAYIT'!$C$6:$C$305,MATCH(C163,'TAKIM KAYIT'!$C$6:$C$305,0)+1))</f>
      </c>
      <c r="D164" s="115">
        <f>IF(ISERROR(VLOOKUP($C164,'START LİSTE'!$B$6:$G$1006,2,0)),"",VLOOKUP($C164,'START LİSTE'!$B$6:$G$1006,2,0))</f>
      </c>
      <c r="E164" s="116">
        <f>IF(ISERROR(VLOOKUP($C164,'START LİSTE'!$B$6:$G$1006,4,0)),"",VLOOKUP($C164,'START LİSTE'!$B$6:$G$1006,4,0))</f>
      </c>
      <c r="F164" s="125">
        <f>IF(ISERROR(VLOOKUP($C164,'FERDİ SONUÇ'!$B$6:$H$819,6,0)),"",VLOOKUP($C164,'FERDİ SONUÇ'!$B$6:$H$819,6,0))</f>
      </c>
      <c r="G164" s="117" t="str">
        <f>IF(OR(E164="",F164="DQ",F164="DNF",F164="DNS",F164=""),"-",VLOOKUP(C164,'FERDİ SONUÇ'!$B$6:$H$819,7,0))</f>
        <v>-</v>
      </c>
      <c r="H164" s="118"/>
    </row>
    <row r="165" spans="1:8" s="120" customFormat="1" ht="19.5" customHeight="1">
      <c r="A165" s="112"/>
      <c r="B165" s="113"/>
      <c r="C165" s="114">
        <f>IF(A163="","",INDEX('TAKIM KAYIT'!$C$6:$C$305,MATCH(C163,'TAKIM KAYIT'!$C$6:$C$305,0)+2))</f>
      </c>
      <c r="D165" s="115">
        <f>IF(ISERROR(VLOOKUP($C165,'START LİSTE'!$B$6:$G$1006,2,0)),"",VLOOKUP($C165,'START LİSTE'!$B$6:$G$1006,2,0))</f>
      </c>
      <c r="E165" s="116">
        <f>IF(ISERROR(VLOOKUP($C165,'START LİSTE'!$B$6:$G$1006,4,0)),"",VLOOKUP($C165,'START LİSTE'!$B$6:$G$1006,4,0))</f>
      </c>
      <c r="F165" s="125">
        <f>IF(ISERROR(VLOOKUP($C165,'FERDİ SONUÇ'!$B$6:$H$819,6,0)),"",VLOOKUP($C165,'FERDİ SONUÇ'!$B$6:$H$819,6,0))</f>
      </c>
      <c r="G165" s="117" t="str">
        <f>IF(OR(E165="",F165="DQ",F165="DNF",F165="DNS",F165=""),"-",VLOOKUP(C165,'FERDİ SONUÇ'!$B$6:$H$819,7,0))</f>
        <v>-</v>
      </c>
      <c r="H165" s="118"/>
    </row>
    <row r="166" spans="1:8" s="120" customFormat="1" ht="19.5" customHeight="1">
      <c r="A166" s="104"/>
      <c r="B166" s="105"/>
      <c r="C166" s="106">
        <f>IF(A168="","",INDEX('TAKIM KAYIT'!$C$6:$C$305,MATCH(C168,'TAKIM KAYIT'!$C$6:$C$305,0)-2))</f>
      </c>
      <c r="D166" s="119">
        <f>IF(ISERROR(VLOOKUP($C166,'START LİSTE'!$B$6:$G$1006,2,0)),"",VLOOKUP($C166,'START LİSTE'!$B$6:$G$1006,2,0))</f>
      </c>
      <c r="E166" s="108">
        <f>IF(ISERROR(VLOOKUP($C166,'START LİSTE'!$B$6:$G$1006,4,0)),"",VLOOKUP($C166,'START LİSTE'!$B$6:$G$1006,4,0))</f>
      </c>
      <c r="F166" s="124">
        <f>IF(ISERROR(VLOOKUP($C166,'FERDİ SONUÇ'!$B$6:$H$819,6,0)),"",VLOOKUP($C166,'FERDİ SONUÇ'!$B$6:$H$819,6,0))</f>
      </c>
      <c r="G166" s="109" t="str">
        <f>IF(OR(E166="",F166="DQ",F166="DNF",F166="DNS",F166=""),"-",VLOOKUP(C166,'FERDİ SONUÇ'!$B$6:$H$819,7,0))</f>
        <v>-</v>
      </c>
      <c r="H166" s="110"/>
    </row>
    <row r="167" spans="1:8" s="120" customFormat="1" ht="19.5" customHeight="1">
      <c r="A167" s="112"/>
      <c r="B167" s="113"/>
      <c r="C167" s="114">
        <f>IF(A168="","",INDEX('TAKIM KAYIT'!$C$6:$C$305,MATCH(C168,'TAKIM KAYIT'!$C$6:$C$305,0)-1))</f>
      </c>
      <c r="D167" s="115">
        <f>IF(ISERROR(VLOOKUP($C167,'START LİSTE'!$B$6:$G$1006,2,0)),"",VLOOKUP($C167,'START LİSTE'!$B$6:$G$1006,2,0))</f>
      </c>
      <c r="E167" s="116">
        <f>IF(ISERROR(VLOOKUP($C167,'START LİSTE'!$B$6:$G$1006,4,0)),"",VLOOKUP($C167,'START LİSTE'!$B$6:$G$1006,4,0))</f>
      </c>
      <c r="F167" s="125">
        <f>IF(ISERROR(VLOOKUP($C167,'FERDİ SONUÇ'!$B$6:$H$819,6,0)),"",VLOOKUP($C167,'FERDİ SONUÇ'!$B$6:$H$819,6,0))</f>
      </c>
      <c r="G167" s="117" t="str">
        <f>IF(OR(E167="",F167="DQ",F167="DNF",F167="DNS",F167=""),"-",VLOOKUP(C167,'FERDİ SONUÇ'!$B$6:$H$819,7,0))</f>
        <v>-</v>
      </c>
      <c r="H167" s="118"/>
    </row>
    <row r="168" spans="1:8" s="120" customFormat="1" ht="19.5" customHeight="1">
      <c r="A168" s="112">
        <f>IF(ISERROR(SMALL('TAKIM KAYIT'!$A$6:$A$305,33)),"",SMALL('TAKIM KAYIT'!$A$6:$A$305,33))</f>
      </c>
      <c r="B168" s="113">
        <f>IF(A168="","",VLOOKUP(A168,'TAKIM KAYIT'!$A$6:$J$305,2,FALSE))</f>
      </c>
      <c r="C168" s="114">
        <f>IF(A168="","",VLOOKUP(A168,'TAKIM KAYIT'!$A$6:$J$305,3,FALSE))</f>
      </c>
      <c r="D168" s="115">
        <f>IF(ISERROR(VLOOKUP($C168,'START LİSTE'!$B$6:$G$1006,2,0)),"",VLOOKUP($C168,'START LİSTE'!$B$6:$G$1006,2,0))</f>
      </c>
      <c r="E168" s="116">
        <f>IF(ISERROR(VLOOKUP($C168,'START LİSTE'!$B$6:$G$1006,4,0)),"",VLOOKUP($C168,'START LİSTE'!$B$6:$G$1006,4,0))</f>
      </c>
      <c r="F168" s="125">
        <f>IF(ISERROR(VLOOKUP($C168,'FERDİ SONUÇ'!$B$6:$H$819,6,0)),"",VLOOKUP($C168,'FERDİ SONUÇ'!$B$6:$H$819,6,0))</f>
      </c>
      <c r="G168" s="117" t="str">
        <f>IF(OR(E168="",F168="DQ",F168="DNF",F168="DNS",F168=""),"-",VLOOKUP(C168,'FERDİ SONUÇ'!$B$6:$H$819,7,0))</f>
        <v>-</v>
      </c>
      <c r="H168" s="118">
        <f>IF(A168="","",VLOOKUP(A168,'TAKIM KAYIT'!$A$6:$K$305,10,FALSE))</f>
      </c>
    </row>
    <row r="169" spans="1:8" s="120" customFormat="1" ht="19.5" customHeight="1">
      <c r="A169" s="112"/>
      <c r="B169" s="113"/>
      <c r="C169" s="114">
        <f>IF(A168="","",INDEX('TAKIM KAYIT'!$C$6:$C$305,MATCH(C168,'TAKIM KAYIT'!$C$6:$C$305,0)+1))</f>
      </c>
      <c r="D169" s="115">
        <f>IF(ISERROR(VLOOKUP($C169,'START LİSTE'!$B$6:$G$1006,2,0)),"",VLOOKUP($C169,'START LİSTE'!$B$6:$G$1006,2,0))</f>
      </c>
      <c r="E169" s="116">
        <f>IF(ISERROR(VLOOKUP($C169,'START LİSTE'!$B$6:$G$1006,4,0)),"",VLOOKUP($C169,'START LİSTE'!$B$6:$G$1006,4,0))</f>
      </c>
      <c r="F169" s="125">
        <f>IF(ISERROR(VLOOKUP($C169,'FERDİ SONUÇ'!$B$6:$H$819,6,0)),"",VLOOKUP($C169,'FERDİ SONUÇ'!$B$6:$H$819,6,0))</f>
      </c>
      <c r="G169" s="117" t="str">
        <f>IF(OR(E169="",F169="DQ",F169="DNF",F169="DNS",F169=""),"-",VLOOKUP(C169,'FERDİ SONUÇ'!$B$6:$H$819,7,0))</f>
        <v>-</v>
      </c>
      <c r="H169" s="118"/>
    </row>
    <row r="170" spans="1:8" s="120" customFormat="1" ht="19.5" customHeight="1">
      <c r="A170" s="112"/>
      <c r="B170" s="113"/>
      <c r="C170" s="114">
        <f>IF(A168="","",INDEX('TAKIM KAYIT'!$C$6:$C$305,MATCH(C168,'TAKIM KAYIT'!$C$6:$C$305,0)+2))</f>
      </c>
      <c r="D170" s="115">
        <f>IF(ISERROR(VLOOKUP($C170,'START LİSTE'!$B$6:$G$1006,2,0)),"",VLOOKUP($C170,'START LİSTE'!$B$6:$G$1006,2,0))</f>
      </c>
      <c r="E170" s="116">
        <f>IF(ISERROR(VLOOKUP($C170,'START LİSTE'!$B$6:$G$1006,4,0)),"",VLOOKUP($C170,'START LİSTE'!$B$6:$G$1006,4,0))</f>
      </c>
      <c r="F170" s="125">
        <f>IF(ISERROR(VLOOKUP($C170,'FERDİ SONUÇ'!$B$6:$H$819,6,0)),"",VLOOKUP($C170,'FERDİ SONUÇ'!$B$6:$H$819,6,0))</f>
      </c>
      <c r="G170" s="117" t="str">
        <f>IF(OR(E170="",F170="DQ",F170="DNF",F170="DNS",F170=""),"-",VLOOKUP(C170,'FERDİ SONUÇ'!$B$6:$H$819,7,0))</f>
        <v>-</v>
      </c>
      <c r="H170" s="118"/>
    </row>
    <row r="171" spans="1:8" s="120" customFormat="1" ht="19.5" customHeight="1">
      <c r="A171" s="104"/>
      <c r="B171" s="105"/>
      <c r="C171" s="106">
        <f>IF(A173="","",INDEX('TAKIM KAYIT'!$C$6:$C$305,MATCH(C173,'TAKIM KAYIT'!$C$6:$C$305,0)-2))</f>
      </c>
      <c r="D171" s="119">
        <f>IF(ISERROR(VLOOKUP($C171,'START LİSTE'!$B$6:$G$1006,2,0)),"",VLOOKUP($C171,'START LİSTE'!$B$6:$G$1006,2,0))</f>
      </c>
      <c r="E171" s="108">
        <f>IF(ISERROR(VLOOKUP($C171,'START LİSTE'!$B$6:$G$1006,4,0)),"",VLOOKUP($C171,'START LİSTE'!$B$6:$G$1006,4,0))</f>
      </c>
      <c r="F171" s="124">
        <f>IF(ISERROR(VLOOKUP($C171,'FERDİ SONUÇ'!$B$6:$H$819,6,0)),"",VLOOKUP($C171,'FERDİ SONUÇ'!$B$6:$H$819,6,0))</f>
      </c>
      <c r="G171" s="121" t="str">
        <f>IF(OR(E171="",F171="DQ",F171="DNF",F171="DNS",F171=""),"-",VLOOKUP(C171,'FERDİ SONUÇ'!$B$6:$H$819,7,0))</f>
        <v>-</v>
      </c>
      <c r="H171" s="110"/>
    </row>
    <row r="172" spans="1:8" s="120" customFormat="1" ht="19.5" customHeight="1">
      <c r="A172" s="112"/>
      <c r="B172" s="113"/>
      <c r="C172" s="114">
        <f>IF(A173="","",INDEX('TAKIM KAYIT'!$C$6:$C$305,MATCH(C173,'TAKIM KAYIT'!$C$6:$C$305,0)-1))</f>
      </c>
      <c r="D172" s="115">
        <f>IF(ISERROR(VLOOKUP($C172,'START LİSTE'!$B$6:$G$1006,2,0)),"",VLOOKUP($C172,'START LİSTE'!$B$6:$G$1006,2,0))</f>
      </c>
      <c r="E172" s="116">
        <f>IF(ISERROR(VLOOKUP($C172,'START LİSTE'!$B$6:$G$1006,4,0)),"",VLOOKUP($C172,'START LİSTE'!$B$6:$G$1006,4,0))</f>
      </c>
      <c r="F172" s="125">
        <f>IF(ISERROR(VLOOKUP($C172,'FERDİ SONUÇ'!$B$6:$H$819,6,0)),"",VLOOKUP($C172,'FERDİ SONUÇ'!$B$6:$H$819,6,0))</f>
      </c>
      <c r="G172" s="122" t="str">
        <f>IF(OR(E172="",F172="DQ",F172="DNF",F172="DNS",F172=""),"-",VLOOKUP(C172,'FERDİ SONUÇ'!$B$6:$H$819,7,0))</f>
        <v>-</v>
      </c>
      <c r="H172" s="118"/>
    </row>
    <row r="173" spans="1:8" s="120" customFormat="1" ht="19.5" customHeight="1">
      <c r="A173" s="112">
        <f>IF(ISERROR(SMALL('TAKIM KAYIT'!$A$6:$A$305,34)),"",SMALL('TAKIM KAYIT'!$A$6:$A$305,34))</f>
      </c>
      <c r="B173" s="113">
        <f>IF(A173="","",VLOOKUP(A173,'TAKIM KAYIT'!$A$6:$J$305,2,FALSE))</f>
      </c>
      <c r="C173" s="114">
        <f>IF(A173="","",VLOOKUP(A173,'TAKIM KAYIT'!$A$6:$J$305,3,FALSE))</f>
      </c>
      <c r="D173" s="115">
        <f>IF(ISERROR(VLOOKUP($C173,'START LİSTE'!$B$6:$G$1006,2,0)),"",VLOOKUP($C173,'START LİSTE'!$B$6:$G$1006,2,0))</f>
      </c>
      <c r="E173" s="116">
        <f>IF(ISERROR(VLOOKUP($C173,'START LİSTE'!$B$6:$G$1006,4,0)),"",VLOOKUP($C173,'START LİSTE'!$B$6:$G$1006,4,0))</f>
      </c>
      <c r="F173" s="125">
        <f>IF(ISERROR(VLOOKUP($C173,'FERDİ SONUÇ'!$B$6:$H$819,6,0)),"",VLOOKUP($C173,'FERDİ SONUÇ'!$B$6:$H$819,6,0))</f>
      </c>
      <c r="G173" s="122" t="str">
        <f>IF(OR(E173="",F173="DQ",F173="DNF",F173="DNS",F173=""),"-",VLOOKUP(C173,'FERDİ SONUÇ'!$B$6:$H$819,7,0))</f>
        <v>-</v>
      </c>
      <c r="H173" s="118">
        <f>IF(A173="","",VLOOKUP(A173,'TAKIM KAYIT'!$A$6:$K$305,10,FALSE))</f>
      </c>
    </row>
    <row r="174" spans="1:8" s="120" customFormat="1" ht="19.5" customHeight="1">
      <c r="A174" s="112"/>
      <c r="B174" s="113"/>
      <c r="C174" s="114">
        <f>IF(A173="","",INDEX('TAKIM KAYIT'!$C$6:$C$305,MATCH(C173,'TAKIM KAYIT'!$C$6:$C$305,0)+1))</f>
      </c>
      <c r="D174" s="115">
        <f>IF(ISERROR(VLOOKUP($C174,'START LİSTE'!$B$6:$G$1006,2,0)),"",VLOOKUP($C174,'START LİSTE'!$B$6:$G$1006,2,0))</f>
      </c>
      <c r="E174" s="116">
        <f>IF(ISERROR(VLOOKUP($C174,'START LİSTE'!$B$6:$G$1006,4,0)),"",VLOOKUP($C174,'START LİSTE'!$B$6:$G$1006,4,0))</f>
      </c>
      <c r="F174" s="125">
        <f>IF(ISERROR(VLOOKUP($C174,'FERDİ SONUÇ'!$B$6:$H$819,6,0)),"",VLOOKUP($C174,'FERDİ SONUÇ'!$B$6:$H$819,6,0))</f>
      </c>
      <c r="G174" s="122" t="str">
        <f>IF(OR(E174="",F174="DQ",F174="DNF",F174="DNS",F174=""),"-",VLOOKUP(C174,'FERDİ SONUÇ'!$B$6:$H$819,7,0))</f>
        <v>-</v>
      </c>
      <c r="H174" s="118"/>
    </row>
    <row r="175" spans="1:8" s="120" customFormat="1" ht="19.5" customHeight="1">
      <c r="A175" s="112"/>
      <c r="B175" s="113"/>
      <c r="C175" s="114">
        <f>IF(A173="","",INDEX('TAKIM KAYIT'!$C$6:$C$305,MATCH(C173,'TAKIM KAYIT'!$C$6:$C$305,0)+2))</f>
      </c>
      <c r="D175" s="115">
        <f>IF(ISERROR(VLOOKUP($C175,'START LİSTE'!$B$6:$G$1006,2,0)),"",VLOOKUP($C175,'START LİSTE'!$B$6:$G$1006,2,0))</f>
      </c>
      <c r="E175" s="116">
        <f>IF(ISERROR(VLOOKUP($C175,'START LİSTE'!$B$6:$G$1006,4,0)),"",VLOOKUP($C175,'START LİSTE'!$B$6:$G$1006,4,0))</f>
      </c>
      <c r="F175" s="125">
        <f>IF(ISERROR(VLOOKUP($C175,'FERDİ SONUÇ'!$B$6:$H$819,6,0)),"",VLOOKUP($C175,'FERDİ SONUÇ'!$B$6:$H$819,6,0))</f>
      </c>
      <c r="G175" s="122" t="str">
        <f>IF(OR(E175="",F175="DQ",F175="DNF",F175="DNS",F175=""),"-",VLOOKUP(C175,'FERDİ SONUÇ'!$B$6:$H$819,7,0))</f>
        <v>-</v>
      </c>
      <c r="H175" s="118"/>
    </row>
    <row r="176" spans="1:8" s="120" customFormat="1" ht="19.5" customHeight="1">
      <c r="A176" s="104"/>
      <c r="B176" s="105"/>
      <c r="C176" s="106">
        <f>IF(A178="","",INDEX('TAKIM KAYIT'!$C$6:$C$305,MATCH(C178,'TAKIM KAYIT'!$C$6:$C$305,0)-2))</f>
      </c>
      <c r="D176" s="119">
        <f>IF(ISERROR(VLOOKUP($C176,'START LİSTE'!$B$6:$G$1006,2,0)),"",VLOOKUP($C176,'START LİSTE'!$B$6:$G$1006,2,0))</f>
      </c>
      <c r="E176" s="108">
        <f>IF(ISERROR(VLOOKUP($C176,'START LİSTE'!$B$6:$G$1006,4,0)),"",VLOOKUP($C176,'START LİSTE'!$B$6:$G$1006,4,0))</f>
      </c>
      <c r="F176" s="124">
        <f>IF(ISERROR(VLOOKUP($C176,'FERDİ SONUÇ'!$B$6:$H$819,6,0)),"",VLOOKUP($C176,'FERDİ SONUÇ'!$B$6:$H$819,6,0))</f>
      </c>
      <c r="G176" s="121" t="str">
        <f>IF(OR(E176="",F176="DQ",F176="DNF",F176="DNS",F176=""),"-",VLOOKUP(C176,'FERDİ SONUÇ'!$B$6:$H$819,7,0))</f>
        <v>-</v>
      </c>
      <c r="H176" s="110"/>
    </row>
    <row r="177" spans="1:8" s="120" customFormat="1" ht="19.5" customHeight="1">
      <c r="A177" s="112"/>
      <c r="B177" s="113"/>
      <c r="C177" s="114">
        <f>IF(A178="","",INDEX('TAKIM KAYIT'!$C$6:$C$305,MATCH(C178,'TAKIM KAYIT'!$C$6:$C$305,0)-1))</f>
      </c>
      <c r="D177" s="115">
        <f>IF(ISERROR(VLOOKUP($C177,'START LİSTE'!$B$6:$G$1006,2,0)),"",VLOOKUP($C177,'START LİSTE'!$B$6:$G$1006,2,0))</f>
      </c>
      <c r="E177" s="116">
        <f>IF(ISERROR(VLOOKUP($C177,'START LİSTE'!$B$6:$G$1006,4,0)),"",VLOOKUP($C177,'START LİSTE'!$B$6:$G$1006,4,0))</f>
      </c>
      <c r="F177" s="125">
        <f>IF(ISERROR(VLOOKUP($C177,'FERDİ SONUÇ'!$B$6:$H$819,6,0)),"",VLOOKUP($C177,'FERDİ SONUÇ'!$B$6:$H$819,6,0))</f>
      </c>
      <c r="G177" s="122" t="str">
        <f>IF(OR(E177="",F177="DQ",F177="DNF",F177="DNS",F177=""),"-",VLOOKUP(C177,'FERDİ SONUÇ'!$B$6:$H$819,7,0))</f>
        <v>-</v>
      </c>
      <c r="H177" s="118"/>
    </row>
    <row r="178" spans="1:8" s="120" customFormat="1" ht="19.5" customHeight="1">
      <c r="A178" s="112">
        <f>IF(ISERROR(SMALL('TAKIM KAYIT'!$A$6:$A$305,35)),"",SMALL('TAKIM KAYIT'!$A$6:$A$305,35))</f>
      </c>
      <c r="B178" s="113">
        <f>IF(A178="","",VLOOKUP(A178,'TAKIM KAYIT'!$A$6:$J$305,2,FALSE))</f>
      </c>
      <c r="C178" s="114">
        <f>IF(A178="","",VLOOKUP(A178,'TAKIM KAYIT'!$A$6:$J$305,3,FALSE))</f>
      </c>
      <c r="D178" s="115">
        <f>IF(ISERROR(VLOOKUP($C178,'START LİSTE'!$B$6:$G$1006,2,0)),"",VLOOKUP($C178,'START LİSTE'!$B$6:$G$1006,2,0))</f>
      </c>
      <c r="E178" s="116">
        <f>IF(ISERROR(VLOOKUP($C178,'START LİSTE'!$B$6:$G$1006,4,0)),"",VLOOKUP($C178,'START LİSTE'!$B$6:$G$1006,4,0))</f>
      </c>
      <c r="F178" s="125">
        <f>IF(ISERROR(VLOOKUP($C178,'FERDİ SONUÇ'!$B$6:$H$819,6,0)),"",VLOOKUP($C178,'FERDİ SONUÇ'!$B$6:$H$819,6,0))</f>
      </c>
      <c r="G178" s="122" t="str">
        <f>IF(OR(E178="",F178="DQ",F178="DNF",F178="DNS",F178=""),"-",VLOOKUP(C178,'FERDİ SONUÇ'!$B$6:$H$819,7,0))</f>
        <v>-</v>
      </c>
      <c r="H178" s="118">
        <f>IF(A178="","",VLOOKUP(A178,'TAKIM KAYIT'!$A$6:$K$305,10,FALSE))</f>
      </c>
    </row>
    <row r="179" spans="1:8" s="120" customFormat="1" ht="19.5" customHeight="1">
      <c r="A179" s="112"/>
      <c r="B179" s="113"/>
      <c r="C179" s="114">
        <f>IF(A178="","",INDEX('TAKIM KAYIT'!$C$6:$C$305,MATCH(C178,'TAKIM KAYIT'!$C$6:$C$305,0)+1))</f>
      </c>
      <c r="D179" s="115">
        <f>IF(ISERROR(VLOOKUP($C179,'START LİSTE'!$B$6:$G$1006,2,0)),"",VLOOKUP($C179,'START LİSTE'!$B$6:$G$1006,2,0))</f>
      </c>
      <c r="E179" s="116">
        <f>IF(ISERROR(VLOOKUP($C179,'START LİSTE'!$B$6:$G$1006,4,0)),"",VLOOKUP($C179,'START LİSTE'!$B$6:$G$1006,4,0))</f>
      </c>
      <c r="F179" s="125">
        <f>IF(ISERROR(VLOOKUP($C179,'FERDİ SONUÇ'!$B$6:$H$819,6,0)),"",VLOOKUP($C179,'FERDİ SONUÇ'!$B$6:$H$819,6,0))</f>
      </c>
      <c r="G179" s="122" t="str">
        <f>IF(OR(E179="",F179="DQ",F179="DNF",F179="DNS",F179=""),"-",VLOOKUP(C179,'FERDİ SONUÇ'!$B$6:$H$819,7,0))</f>
        <v>-</v>
      </c>
      <c r="H179" s="118"/>
    </row>
    <row r="180" spans="1:8" s="120" customFormat="1" ht="19.5" customHeight="1">
      <c r="A180" s="112"/>
      <c r="B180" s="113"/>
      <c r="C180" s="114">
        <f>IF(A178="","",INDEX('TAKIM KAYIT'!$C$6:$C$305,MATCH(C178,'TAKIM KAYIT'!$C$6:$C$305,0)+2))</f>
      </c>
      <c r="D180" s="115">
        <f>IF(ISERROR(VLOOKUP($C180,'START LİSTE'!$B$6:$G$1006,2,0)),"",VLOOKUP($C180,'START LİSTE'!$B$6:$G$1006,2,0))</f>
      </c>
      <c r="E180" s="116">
        <f>IF(ISERROR(VLOOKUP($C180,'START LİSTE'!$B$6:$G$1006,4,0)),"",VLOOKUP($C180,'START LİSTE'!$B$6:$G$1006,4,0))</f>
      </c>
      <c r="F180" s="125">
        <f>IF(ISERROR(VLOOKUP($C180,'FERDİ SONUÇ'!$B$6:$H$819,6,0)),"",VLOOKUP($C180,'FERDİ SONUÇ'!$B$6:$H$819,6,0))</f>
      </c>
      <c r="G180" s="122" t="str">
        <f>IF(OR(E180="",F180="DQ",F180="DNF",F180="DNS",F180=""),"-",VLOOKUP(C180,'FERDİ SONUÇ'!$B$6:$H$819,7,0))</f>
        <v>-</v>
      </c>
      <c r="H180" s="118"/>
    </row>
    <row r="181" spans="1:8" s="120" customFormat="1" ht="19.5" customHeight="1">
      <c r="A181" s="104"/>
      <c r="B181" s="105"/>
      <c r="C181" s="106">
        <f>IF(A183="","",INDEX('TAKIM KAYIT'!$C$6:$C$305,MATCH(C183,'TAKIM KAYIT'!$C$6:$C$305,0)-2))</f>
      </c>
      <c r="D181" s="119">
        <f>IF(ISERROR(VLOOKUP($C181,'START LİSTE'!$B$6:$G$1006,2,0)),"",VLOOKUP($C181,'START LİSTE'!$B$6:$G$1006,2,0))</f>
      </c>
      <c r="E181" s="108">
        <f>IF(ISERROR(VLOOKUP($C181,'START LİSTE'!$B$6:$G$1006,4,0)),"",VLOOKUP($C181,'START LİSTE'!$B$6:$G$1006,4,0))</f>
      </c>
      <c r="F181" s="124">
        <f>IF(ISERROR(VLOOKUP($C181,'FERDİ SONUÇ'!$B$6:$H$819,6,0)),"",VLOOKUP($C181,'FERDİ SONUÇ'!$B$6:$H$819,6,0))</f>
      </c>
      <c r="G181" s="121" t="str">
        <f>IF(OR(E181="",F181="DQ",F181="DNF",F181="DNS",F181=""),"-",VLOOKUP(C181,'FERDİ SONUÇ'!$B$6:$H$819,7,0))</f>
        <v>-</v>
      </c>
      <c r="H181" s="110"/>
    </row>
    <row r="182" spans="1:8" s="120" customFormat="1" ht="19.5" customHeight="1">
      <c r="A182" s="112"/>
      <c r="B182" s="113"/>
      <c r="C182" s="114">
        <f>IF(A183="","",INDEX('TAKIM KAYIT'!$C$6:$C$305,MATCH(C183,'TAKIM KAYIT'!$C$6:$C$305,0)-1))</f>
      </c>
      <c r="D182" s="115">
        <f>IF(ISERROR(VLOOKUP($C182,'START LİSTE'!$B$6:$G$1006,2,0)),"",VLOOKUP($C182,'START LİSTE'!$B$6:$G$1006,2,0))</f>
      </c>
      <c r="E182" s="116">
        <f>IF(ISERROR(VLOOKUP($C182,'START LİSTE'!$B$6:$G$1006,4,0)),"",VLOOKUP($C182,'START LİSTE'!$B$6:$G$1006,4,0))</f>
      </c>
      <c r="F182" s="125">
        <f>IF(ISERROR(VLOOKUP($C182,'FERDİ SONUÇ'!$B$6:$H$819,6,0)),"",VLOOKUP($C182,'FERDİ SONUÇ'!$B$6:$H$819,6,0))</f>
      </c>
      <c r="G182" s="122" t="str">
        <f>IF(OR(E182="",F182="DQ",F182="DNF",F182="DNS",F182=""),"-",VLOOKUP(C182,'FERDİ SONUÇ'!$B$6:$H$819,7,0))</f>
        <v>-</v>
      </c>
      <c r="H182" s="118"/>
    </row>
    <row r="183" spans="1:8" s="120" customFormat="1" ht="19.5" customHeight="1">
      <c r="A183" s="112">
        <f>IF(ISERROR(SMALL('TAKIM KAYIT'!$A$6:$A$305,36)),"",SMALL('TAKIM KAYIT'!$A$6:$A$305,36))</f>
      </c>
      <c r="B183" s="113">
        <f>IF(A183="","",VLOOKUP(A183,'TAKIM KAYIT'!$A$6:$J$305,2,FALSE))</f>
      </c>
      <c r="C183" s="114">
        <f>IF(A183="","",VLOOKUP(A183,'TAKIM KAYIT'!$A$6:$J$305,3,FALSE))</f>
      </c>
      <c r="D183" s="115">
        <f>IF(ISERROR(VLOOKUP($C183,'START LİSTE'!$B$6:$G$1006,2,0)),"",VLOOKUP($C183,'START LİSTE'!$B$6:$G$1006,2,0))</f>
      </c>
      <c r="E183" s="116">
        <f>IF(ISERROR(VLOOKUP($C183,'START LİSTE'!$B$6:$G$1006,4,0)),"",VLOOKUP($C183,'START LİSTE'!$B$6:$G$1006,4,0))</f>
      </c>
      <c r="F183" s="125">
        <f>IF(ISERROR(VLOOKUP($C183,'FERDİ SONUÇ'!$B$6:$H$819,6,0)),"",VLOOKUP($C183,'FERDİ SONUÇ'!$B$6:$H$819,6,0))</f>
      </c>
      <c r="G183" s="122" t="str">
        <f>IF(OR(E183="",F183="DQ",F183="DNF",F183="DNS",F183=""),"-",VLOOKUP(C183,'FERDİ SONUÇ'!$B$6:$H$819,7,0))</f>
        <v>-</v>
      </c>
      <c r="H183" s="118">
        <f>IF(A183="","",VLOOKUP(A183,'TAKIM KAYIT'!$A$6:$K$305,10,FALSE))</f>
      </c>
    </row>
    <row r="184" spans="1:8" s="120" customFormat="1" ht="19.5" customHeight="1">
      <c r="A184" s="112"/>
      <c r="B184" s="113"/>
      <c r="C184" s="114">
        <f>IF(A183="","",INDEX('TAKIM KAYIT'!$C$6:$C$305,MATCH(C183,'TAKIM KAYIT'!$C$6:$C$305,0)+1))</f>
      </c>
      <c r="D184" s="115">
        <f>IF(ISERROR(VLOOKUP($C184,'START LİSTE'!$B$6:$G$1006,2,0)),"",VLOOKUP($C184,'START LİSTE'!$B$6:$G$1006,2,0))</f>
      </c>
      <c r="E184" s="116">
        <f>IF(ISERROR(VLOOKUP($C184,'START LİSTE'!$B$6:$G$1006,4,0)),"",VLOOKUP($C184,'START LİSTE'!$B$6:$G$1006,4,0))</f>
      </c>
      <c r="F184" s="125">
        <f>IF(ISERROR(VLOOKUP($C184,'FERDİ SONUÇ'!$B$6:$H$819,6,0)),"",VLOOKUP($C184,'FERDİ SONUÇ'!$B$6:$H$819,6,0))</f>
      </c>
      <c r="G184" s="122" t="str">
        <f>IF(OR(E184="",F184="DQ",F184="DNF",F184="DNS",F184=""),"-",VLOOKUP(C184,'FERDİ SONUÇ'!$B$6:$H$819,7,0))</f>
        <v>-</v>
      </c>
      <c r="H184" s="118"/>
    </row>
    <row r="185" spans="1:8" s="120" customFormat="1" ht="19.5" customHeight="1">
      <c r="A185" s="112"/>
      <c r="B185" s="113"/>
      <c r="C185" s="114">
        <f>IF(A183="","",INDEX('TAKIM KAYIT'!$C$6:$C$305,MATCH(C183,'TAKIM KAYIT'!$C$6:$C$305,0)+2))</f>
      </c>
      <c r="D185" s="115">
        <f>IF(ISERROR(VLOOKUP($C185,'START LİSTE'!$B$6:$G$1006,2,0)),"",VLOOKUP($C185,'START LİSTE'!$B$6:$G$1006,2,0))</f>
      </c>
      <c r="E185" s="116">
        <f>IF(ISERROR(VLOOKUP($C185,'START LİSTE'!$B$6:$G$1006,4,0)),"",VLOOKUP($C185,'START LİSTE'!$B$6:$G$1006,4,0))</f>
      </c>
      <c r="F185" s="125">
        <f>IF(ISERROR(VLOOKUP($C185,'FERDİ SONUÇ'!$B$6:$H$819,6,0)),"",VLOOKUP($C185,'FERDİ SONUÇ'!$B$6:$H$819,6,0))</f>
      </c>
      <c r="G185" s="122" t="str">
        <f>IF(OR(E185="",F185="DQ",F185="DNF",F185="DNS",F185=""),"-",VLOOKUP(C185,'FERDİ SONUÇ'!$B$6:$H$819,7,0))</f>
        <v>-</v>
      </c>
      <c r="H185" s="118"/>
    </row>
    <row r="186" spans="1:8" s="120" customFormat="1" ht="19.5" customHeight="1">
      <c r="A186" s="104"/>
      <c r="B186" s="105"/>
      <c r="C186" s="106">
        <f>IF(A188="","",INDEX('TAKIM KAYIT'!$C$6:$C$305,MATCH(C188,'TAKIM KAYIT'!$C$6:$C$305,0)-2))</f>
      </c>
      <c r="D186" s="119">
        <f>IF(ISERROR(VLOOKUP($C186,'START LİSTE'!$B$6:$G$1006,2,0)),"",VLOOKUP($C186,'START LİSTE'!$B$6:$G$1006,2,0))</f>
      </c>
      <c r="E186" s="108">
        <f>IF(ISERROR(VLOOKUP($C186,'START LİSTE'!$B$6:$G$1006,4,0)),"",VLOOKUP($C186,'START LİSTE'!$B$6:$G$1006,4,0))</f>
      </c>
      <c r="F186" s="124">
        <f>IF(ISERROR(VLOOKUP($C186,'FERDİ SONUÇ'!$B$6:$H$819,6,0)),"",VLOOKUP($C186,'FERDİ SONUÇ'!$B$6:$H$819,6,0))</f>
      </c>
      <c r="G186" s="121" t="str">
        <f>IF(OR(E186="",F186="DQ",F186="DNF",F186="DNS",F186=""),"-",VLOOKUP(C186,'FERDİ SONUÇ'!$B$6:$H$819,7,0))</f>
        <v>-</v>
      </c>
      <c r="H186" s="110"/>
    </row>
    <row r="187" spans="1:8" s="120" customFormat="1" ht="19.5" customHeight="1">
      <c r="A187" s="112"/>
      <c r="B187" s="113"/>
      <c r="C187" s="114">
        <f>IF(A188="","",INDEX('TAKIM KAYIT'!$C$6:$C$305,MATCH(C188,'TAKIM KAYIT'!$C$6:$C$305,0)-1))</f>
      </c>
      <c r="D187" s="115">
        <f>IF(ISERROR(VLOOKUP($C187,'START LİSTE'!$B$6:$G$1006,2,0)),"",VLOOKUP($C187,'START LİSTE'!$B$6:$G$1006,2,0))</f>
      </c>
      <c r="E187" s="116">
        <f>IF(ISERROR(VLOOKUP($C187,'START LİSTE'!$B$6:$G$1006,4,0)),"",VLOOKUP($C187,'START LİSTE'!$B$6:$G$1006,4,0))</f>
      </c>
      <c r="F187" s="125">
        <f>IF(ISERROR(VLOOKUP($C187,'FERDİ SONUÇ'!$B$6:$H$819,6,0)),"",VLOOKUP($C187,'FERDİ SONUÇ'!$B$6:$H$819,6,0))</f>
      </c>
      <c r="G187" s="122" t="str">
        <f>IF(OR(E187="",F187="DQ",F187="DNF",F187="DNS",F187=""),"-",VLOOKUP(C187,'FERDİ SONUÇ'!$B$6:$H$819,7,0))</f>
        <v>-</v>
      </c>
      <c r="H187" s="118"/>
    </row>
    <row r="188" spans="1:8" s="120" customFormat="1" ht="19.5" customHeight="1">
      <c r="A188" s="112">
        <f>IF(ISERROR(SMALL('TAKIM KAYIT'!$A$6:$A$305,37)),"",SMALL('TAKIM KAYIT'!$A$6:$A$305,37))</f>
      </c>
      <c r="B188" s="113">
        <f>IF(A188="","",VLOOKUP(A188,'TAKIM KAYIT'!$A$6:$J$305,2,FALSE))</f>
      </c>
      <c r="C188" s="114">
        <f>IF(A188="","",VLOOKUP(A188,'TAKIM KAYIT'!$A$6:$J$305,3,FALSE))</f>
      </c>
      <c r="D188" s="115">
        <f>IF(ISERROR(VLOOKUP($C188,'START LİSTE'!$B$6:$G$1006,2,0)),"",VLOOKUP($C188,'START LİSTE'!$B$6:$G$1006,2,0))</f>
      </c>
      <c r="E188" s="116">
        <f>IF(ISERROR(VLOOKUP($C188,'START LİSTE'!$B$6:$G$1006,4,0)),"",VLOOKUP($C188,'START LİSTE'!$B$6:$G$1006,4,0))</f>
      </c>
      <c r="F188" s="125">
        <f>IF(ISERROR(VLOOKUP($C188,'FERDİ SONUÇ'!$B$6:$H$819,6,0)),"",VLOOKUP($C188,'FERDİ SONUÇ'!$B$6:$H$819,6,0))</f>
      </c>
      <c r="G188" s="122" t="str">
        <f>IF(OR(E188="",F188="DQ",F188="DNF",F188="DNS",F188=""),"-",VLOOKUP(C188,'FERDİ SONUÇ'!$B$6:$H$819,7,0))</f>
        <v>-</v>
      </c>
      <c r="H188" s="118">
        <f>IF(A188="","",VLOOKUP(A188,'TAKIM KAYIT'!$A$6:$K$305,10,FALSE))</f>
      </c>
    </row>
    <row r="189" spans="1:8" s="120" customFormat="1" ht="19.5" customHeight="1">
      <c r="A189" s="112"/>
      <c r="B189" s="113"/>
      <c r="C189" s="114">
        <f>IF(A188="","",INDEX('TAKIM KAYIT'!$C$6:$C$305,MATCH(C188,'TAKIM KAYIT'!$C$6:$C$305,0)+1))</f>
      </c>
      <c r="D189" s="115">
        <f>IF(ISERROR(VLOOKUP($C189,'START LİSTE'!$B$6:$G$1006,2,0)),"",VLOOKUP($C189,'START LİSTE'!$B$6:$G$1006,2,0))</f>
      </c>
      <c r="E189" s="116">
        <f>IF(ISERROR(VLOOKUP($C189,'START LİSTE'!$B$6:$G$1006,4,0)),"",VLOOKUP($C189,'START LİSTE'!$B$6:$G$1006,4,0))</f>
      </c>
      <c r="F189" s="125">
        <f>IF(ISERROR(VLOOKUP($C189,'FERDİ SONUÇ'!$B$6:$H$819,6,0)),"",VLOOKUP($C189,'FERDİ SONUÇ'!$B$6:$H$819,6,0))</f>
      </c>
      <c r="G189" s="122" t="str">
        <f>IF(OR(E189="",F189="DQ",F189="DNF",F189="DNS",F189=""),"-",VLOOKUP(C189,'FERDİ SONUÇ'!$B$6:$H$819,7,0))</f>
        <v>-</v>
      </c>
      <c r="H189" s="118"/>
    </row>
    <row r="190" spans="1:8" s="120" customFormat="1" ht="19.5" customHeight="1">
      <c r="A190" s="112"/>
      <c r="B190" s="113"/>
      <c r="C190" s="114">
        <f>IF(A188="","",INDEX('TAKIM KAYIT'!$C$6:$C$305,MATCH(C188,'TAKIM KAYIT'!$C$6:$C$305,0)+2))</f>
      </c>
      <c r="D190" s="115">
        <f>IF(ISERROR(VLOOKUP($C190,'START LİSTE'!$B$6:$G$1006,2,0)),"",VLOOKUP($C190,'START LİSTE'!$B$6:$G$1006,2,0))</f>
      </c>
      <c r="E190" s="116">
        <f>IF(ISERROR(VLOOKUP($C190,'START LİSTE'!$B$6:$G$1006,4,0)),"",VLOOKUP($C190,'START LİSTE'!$B$6:$G$1006,4,0))</f>
      </c>
      <c r="F190" s="125">
        <f>IF(ISERROR(VLOOKUP($C190,'FERDİ SONUÇ'!$B$6:$H$819,6,0)),"",VLOOKUP($C190,'FERDİ SONUÇ'!$B$6:$H$819,6,0))</f>
      </c>
      <c r="G190" s="122" t="str">
        <f>IF(OR(E190="",F190="DQ",F190="DNF",F190="DNS",F190=""),"-",VLOOKUP(C190,'FERDİ SONUÇ'!$B$6:$H$819,7,0))</f>
        <v>-</v>
      </c>
      <c r="H190" s="118"/>
    </row>
    <row r="191" spans="1:8" s="120" customFormat="1" ht="19.5" customHeight="1">
      <c r="A191" s="104"/>
      <c r="B191" s="105"/>
      <c r="C191" s="106">
        <f>IF(A193="","",INDEX('TAKIM KAYIT'!$C$6:$C$305,MATCH(C193,'TAKIM KAYIT'!$C$6:$C$305,0)-2))</f>
      </c>
      <c r="D191" s="119">
        <f>IF(ISERROR(VLOOKUP($C191,'START LİSTE'!$B$6:$G$1006,2,0)),"",VLOOKUP($C191,'START LİSTE'!$B$6:$G$1006,2,0))</f>
      </c>
      <c r="E191" s="108">
        <f>IF(ISERROR(VLOOKUP($C191,'START LİSTE'!$B$6:$G$1006,4,0)),"",VLOOKUP($C191,'START LİSTE'!$B$6:$G$1006,4,0))</f>
      </c>
      <c r="F191" s="124">
        <f>IF(ISERROR(VLOOKUP($C191,'FERDİ SONUÇ'!$B$6:$H$819,6,0)),"",VLOOKUP($C191,'FERDİ SONUÇ'!$B$6:$H$819,6,0))</f>
      </c>
      <c r="G191" s="121" t="str">
        <f>IF(OR(E191="",F191="DQ",F191="DNF",F191="DNS",F191=""),"-",VLOOKUP(C191,'FERDİ SONUÇ'!$B$6:$H$819,7,0))</f>
        <v>-</v>
      </c>
      <c r="H191" s="110"/>
    </row>
    <row r="192" spans="1:8" s="120" customFormat="1" ht="19.5" customHeight="1">
      <c r="A192" s="112"/>
      <c r="B192" s="113"/>
      <c r="C192" s="114">
        <f>IF(A193="","",INDEX('TAKIM KAYIT'!$C$6:$C$305,MATCH(C193,'TAKIM KAYIT'!$C$6:$C$305,0)-1))</f>
      </c>
      <c r="D192" s="115">
        <f>IF(ISERROR(VLOOKUP($C192,'START LİSTE'!$B$6:$G$1006,2,0)),"",VLOOKUP($C192,'START LİSTE'!$B$6:$G$1006,2,0))</f>
      </c>
      <c r="E192" s="116">
        <f>IF(ISERROR(VLOOKUP($C192,'START LİSTE'!$B$6:$G$1006,4,0)),"",VLOOKUP($C192,'START LİSTE'!$B$6:$G$1006,4,0))</f>
      </c>
      <c r="F192" s="125">
        <f>IF(ISERROR(VLOOKUP($C192,'FERDİ SONUÇ'!$B$6:$H$819,6,0)),"",VLOOKUP($C192,'FERDİ SONUÇ'!$B$6:$H$819,6,0))</f>
      </c>
      <c r="G192" s="122" t="str">
        <f>IF(OR(E192="",F192="DQ",F192="DNF",F192="DNS",F192=""),"-",VLOOKUP(C192,'FERDİ SONUÇ'!$B$6:$H$819,7,0))</f>
        <v>-</v>
      </c>
      <c r="H192" s="118"/>
    </row>
    <row r="193" spans="1:8" s="120" customFormat="1" ht="19.5" customHeight="1">
      <c r="A193" s="112">
        <f>IF(ISERROR(SMALL('TAKIM KAYIT'!$A$6:$A$305,38)),"",SMALL('TAKIM KAYIT'!$A$6:$A$305,38))</f>
      </c>
      <c r="B193" s="113">
        <f>IF(A193="","",VLOOKUP(A193,'TAKIM KAYIT'!$A$6:$J$305,2,FALSE))</f>
      </c>
      <c r="C193" s="114">
        <f>IF(A193="","",VLOOKUP(A193,'TAKIM KAYIT'!$A$6:$J$305,3,FALSE))</f>
      </c>
      <c r="D193" s="115">
        <f>IF(ISERROR(VLOOKUP($C193,'START LİSTE'!$B$6:$G$1006,2,0)),"",VLOOKUP($C193,'START LİSTE'!$B$6:$G$1006,2,0))</f>
      </c>
      <c r="E193" s="116">
        <f>IF(ISERROR(VLOOKUP($C193,'START LİSTE'!$B$6:$G$1006,4,0)),"",VLOOKUP($C193,'START LİSTE'!$B$6:$G$1006,4,0))</f>
      </c>
      <c r="F193" s="125">
        <f>IF(ISERROR(VLOOKUP($C193,'FERDİ SONUÇ'!$B$6:$H$819,6,0)),"",VLOOKUP($C193,'FERDİ SONUÇ'!$B$6:$H$819,6,0))</f>
      </c>
      <c r="G193" s="122" t="str">
        <f>IF(OR(E193="",F193="DQ",F193="DNF",F193="DNS",F193=""),"-",VLOOKUP(C193,'FERDİ SONUÇ'!$B$6:$H$819,7,0))</f>
        <v>-</v>
      </c>
      <c r="H193" s="118">
        <f>IF(A193="","",VLOOKUP(A193,'TAKIM KAYIT'!$A$6:$K$305,10,FALSE))</f>
      </c>
    </row>
    <row r="194" spans="1:8" s="120" customFormat="1" ht="19.5" customHeight="1">
      <c r="A194" s="112"/>
      <c r="B194" s="113"/>
      <c r="C194" s="114">
        <f>IF(A193="","",INDEX('TAKIM KAYIT'!$C$6:$C$305,MATCH(C193,'TAKIM KAYIT'!$C$6:$C$305,0)+1))</f>
      </c>
      <c r="D194" s="115">
        <f>IF(ISERROR(VLOOKUP($C194,'START LİSTE'!$B$6:$G$1006,2,0)),"",VLOOKUP($C194,'START LİSTE'!$B$6:$G$1006,2,0))</f>
      </c>
      <c r="E194" s="116">
        <f>IF(ISERROR(VLOOKUP($C194,'START LİSTE'!$B$6:$G$1006,4,0)),"",VLOOKUP($C194,'START LİSTE'!$B$6:$G$1006,4,0))</f>
      </c>
      <c r="F194" s="125">
        <f>IF(ISERROR(VLOOKUP($C194,'FERDİ SONUÇ'!$B$6:$H$819,6,0)),"",VLOOKUP($C194,'FERDİ SONUÇ'!$B$6:$H$819,6,0))</f>
      </c>
      <c r="G194" s="122" t="str">
        <f>IF(OR(E194="",F194="DQ",F194="DNF",F194="DNS",F194=""),"-",VLOOKUP(C194,'FERDİ SONUÇ'!$B$6:$H$819,7,0))</f>
        <v>-</v>
      </c>
      <c r="H194" s="118"/>
    </row>
    <row r="195" spans="1:8" s="120" customFormat="1" ht="19.5" customHeight="1">
      <c r="A195" s="112"/>
      <c r="B195" s="113"/>
      <c r="C195" s="114">
        <f>IF(A193="","",INDEX('TAKIM KAYIT'!$C$6:$C$305,MATCH(C193,'TAKIM KAYIT'!$C$6:$C$305,0)+2))</f>
      </c>
      <c r="D195" s="115">
        <f>IF(ISERROR(VLOOKUP($C195,'START LİSTE'!$B$6:$G$1006,2,0)),"",VLOOKUP($C195,'START LİSTE'!$B$6:$G$1006,2,0))</f>
      </c>
      <c r="E195" s="116">
        <f>IF(ISERROR(VLOOKUP($C195,'START LİSTE'!$B$6:$G$1006,4,0)),"",VLOOKUP($C195,'START LİSTE'!$B$6:$G$1006,4,0))</f>
      </c>
      <c r="F195" s="125">
        <f>IF(ISERROR(VLOOKUP($C195,'FERDİ SONUÇ'!$B$6:$H$819,6,0)),"",VLOOKUP($C195,'FERDİ SONUÇ'!$B$6:$H$819,6,0))</f>
      </c>
      <c r="G195" s="122" t="str">
        <f>IF(OR(E195="",F195="DQ",F195="DNF",F195="DNS",F195=""),"-",VLOOKUP(C195,'FERDİ SONUÇ'!$B$6:$H$819,7,0))</f>
        <v>-</v>
      </c>
      <c r="H195" s="118"/>
    </row>
    <row r="196" spans="1:8" s="120" customFormat="1" ht="19.5" customHeight="1">
      <c r="A196" s="104"/>
      <c r="B196" s="105"/>
      <c r="C196" s="106">
        <f>IF(A198="","",INDEX('TAKIM KAYIT'!$C$6:$C$305,MATCH(C198,'TAKIM KAYIT'!$C$6:$C$305,0)-2))</f>
      </c>
      <c r="D196" s="119">
        <f>IF(ISERROR(VLOOKUP($C196,'START LİSTE'!$B$6:$G$1006,2,0)),"",VLOOKUP($C196,'START LİSTE'!$B$6:$G$1006,2,0))</f>
      </c>
      <c r="E196" s="108">
        <f>IF(ISERROR(VLOOKUP($C196,'START LİSTE'!$B$6:$G$1006,4,0)),"",VLOOKUP($C196,'START LİSTE'!$B$6:$G$1006,4,0))</f>
      </c>
      <c r="F196" s="124">
        <f>IF(ISERROR(VLOOKUP($C196,'FERDİ SONUÇ'!$B$6:$H$819,6,0)),"",VLOOKUP($C196,'FERDİ SONUÇ'!$B$6:$H$819,6,0))</f>
      </c>
      <c r="G196" s="121" t="str">
        <f>IF(OR(E196="",F196="DQ",F196="DNF",F196="DNS",F196=""),"-",VLOOKUP(C196,'FERDİ SONUÇ'!$B$6:$H$819,7,0))</f>
        <v>-</v>
      </c>
      <c r="H196" s="110"/>
    </row>
    <row r="197" spans="1:8" s="120" customFormat="1" ht="19.5" customHeight="1">
      <c r="A197" s="112"/>
      <c r="B197" s="113"/>
      <c r="C197" s="114">
        <f>IF(A198="","",INDEX('TAKIM KAYIT'!$C$6:$C$305,MATCH(C198,'TAKIM KAYIT'!$C$6:$C$305,0)-1))</f>
      </c>
      <c r="D197" s="115">
        <f>IF(ISERROR(VLOOKUP($C197,'START LİSTE'!$B$6:$G$1006,2,0)),"",VLOOKUP($C197,'START LİSTE'!$B$6:$G$1006,2,0))</f>
      </c>
      <c r="E197" s="116">
        <f>IF(ISERROR(VLOOKUP($C197,'START LİSTE'!$B$6:$G$1006,4,0)),"",VLOOKUP($C197,'START LİSTE'!$B$6:$G$1006,4,0))</f>
      </c>
      <c r="F197" s="125">
        <f>IF(ISERROR(VLOOKUP($C197,'FERDİ SONUÇ'!$B$6:$H$819,6,0)),"",VLOOKUP($C197,'FERDİ SONUÇ'!$B$6:$H$819,6,0))</f>
      </c>
      <c r="G197" s="122" t="str">
        <f>IF(OR(E197="",F197="DQ",F197="DNF",F197="DNS",F197=""),"-",VLOOKUP(C197,'FERDİ SONUÇ'!$B$6:$H$819,7,0))</f>
        <v>-</v>
      </c>
      <c r="H197" s="118"/>
    </row>
    <row r="198" spans="1:8" s="120" customFormat="1" ht="19.5" customHeight="1">
      <c r="A198" s="112">
        <f>IF(ISERROR(SMALL('TAKIM KAYIT'!$A$6:$A$305,39)),"",SMALL('TAKIM KAYIT'!$A$6:$A$305,39))</f>
      </c>
      <c r="B198" s="113">
        <f>IF(A198="","",VLOOKUP(A198,'TAKIM KAYIT'!$A$6:$J$305,2,FALSE))</f>
      </c>
      <c r="C198" s="114">
        <f>IF(A198="","",VLOOKUP(A198,'TAKIM KAYIT'!$A$6:$J$305,3,FALSE))</f>
      </c>
      <c r="D198" s="115">
        <f>IF(ISERROR(VLOOKUP($C198,'START LİSTE'!$B$6:$G$1006,2,0)),"",VLOOKUP($C198,'START LİSTE'!$B$6:$G$1006,2,0))</f>
      </c>
      <c r="E198" s="116">
        <f>IF(ISERROR(VLOOKUP($C198,'START LİSTE'!$B$6:$G$1006,4,0)),"",VLOOKUP($C198,'START LİSTE'!$B$6:$G$1006,4,0))</f>
      </c>
      <c r="F198" s="125">
        <f>IF(ISERROR(VLOOKUP($C198,'FERDİ SONUÇ'!$B$6:$H$819,6,0)),"",VLOOKUP($C198,'FERDİ SONUÇ'!$B$6:$H$819,6,0))</f>
      </c>
      <c r="G198" s="122" t="str">
        <f>IF(OR(E198="",F198="DQ",F198="DNF",F198="DNS",F198=""),"-",VLOOKUP(C198,'FERDİ SONUÇ'!$B$6:$H$819,7,0))</f>
        <v>-</v>
      </c>
      <c r="H198" s="118">
        <f>IF(A198="","",VLOOKUP(A198,'TAKIM KAYIT'!$A$6:$K$305,10,FALSE))</f>
      </c>
    </row>
    <row r="199" spans="1:8" s="120" customFormat="1" ht="19.5" customHeight="1">
      <c r="A199" s="112"/>
      <c r="B199" s="113"/>
      <c r="C199" s="114">
        <f>IF(A198="","",INDEX('TAKIM KAYIT'!$C$6:$C$305,MATCH(C198,'TAKIM KAYIT'!$C$6:$C$305,0)+1))</f>
      </c>
      <c r="D199" s="115">
        <f>IF(ISERROR(VLOOKUP($C199,'START LİSTE'!$B$6:$G$1006,2,0)),"",VLOOKUP($C199,'START LİSTE'!$B$6:$G$1006,2,0))</f>
      </c>
      <c r="E199" s="116">
        <f>IF(ISERROR(VLOOKUP($C199,'START LİSTE'!$B$6:$G$1006,4,0)),"",VLOOKUP($C199,'START LİSTE'!$B$6:$G$1006,4,0))</f>
      </c>
      <c r="F199" s="125">
        <f>IF(ISERROR(VLOOKUP($C199,'FERDİ SONUÇ'!$B$6:$H$819,6,0)),"",VLOOKUP($C199,'FERDİ SONUÇ'!$B$6:$H$819,6,0))</f>
      </c>
      <c r="G199" s="122" t="str">
        <f>IF(OR(E199="",F199="DQ",F199="DNF",F199="DNS",F199=""),"-",VLOOKUP(C199,'FERDİ SONUÇ'!$B$6:$H$819,7,0))</f>
        <v>-</v>
      </c>
      <c r="H199" s="118"/>
    </row>
    <row r="200" spans="1:8" s="120" customFormat="1" ht="19.5" customHeight="1">
      <c r="A200" s="112"/>
      <c r="B200" s="113"/>
      <c r="C200" s="114">
        <f>IF(A198="","",INDEX('TAKIM KAYIT'!$C$6:$C$305,MATCH(C198,'TAKIM KAYIT'!$C$6:$C$305,0)+2))</f>
      </c>
      <c r="D200" s="115">
        <f>IF(ISERROR(VLOOKUP($C200,'START LİSTE'!$B$6:$G$1006,2,0)),"",VLOOKUP($C200,'START LİSTE'!$B$6:$G$1006,2,0))</f>
      </c>
      <c r="E200" s="116">
        <f>IF(ISERROR(VLOOKUP($C200,'START LİSTE'!$B$6:$G$1006,4,0)),"",VLOOKUP($C200,'START LİSTE'!$B$6:$G$1006,4,0))</f>
      </c>
      <c r="F200" s="125">
        <f>IF(ISERROR(VLOOKUP($C200,'FERDİ SONUÇ'!$B$6:$H$819,6,0)),"",VLOOKUP($C200,'FERDİ SONUÇ'!$B$6:$H$819,6,0))</f>
      </c>
      <c r="G200" s="122" t="str">
        <f>IF(OR(E200="",F200="DQ",F200="DNF",F200="DNS",F200=""),"-",VLOOKUP(C200,'FERDİ SONUÇ'!$B$6:$H$819,7,0))</f>
        <v>-</v>
      </c>
      <c r="H200" s="118"/>
    </row>
    <row r="201" spans="1:8" s="120" customFormat="1" ht="19.5" customHeight="1">
      <c r="A201" s="104"/>
      <c r="B201" s="105"/>
      <c r="C201" s="106">
        <f>IF(A203="","",INDEX('TAKIM KAYIT'!$C$6:$C$305,MATCH(C203,'TAKIM KAYIT'!$C$6:$C$305,0)-2))</f>
      </c>
      <c r="D201" s="119">
        <f>IF(ISERROR(VLOOKUP($C201,'START LİSTE'!$B$6:$G$1006,2,0)),"",VLOOKUP($C201,'START LİSTE'!$B$6:$G$1006,2,0))</f>
      </c>
      <c r="E201" s="108">
        <f>IF(ISERROR(VLOOKUP($C201,'START LİSTE'!$B$6:$G$1006,4,0)),"",VLOOKUP($C201,'START LİSTE'!$B$6:$G$1006,4,0))</f>
      </c>
      <c r="F201" s="124">
        <f>IF(ISERROR(VLOOKUP($C201,'FERDİ SONUÇ'!$B$6:$H$819,6,0)),"",VLOOKUP($C201,'FERDİ SONUÇ'!$B$6:$H$819,6,0))</f>
      </c>
      <c r="G201" s="121" t="str">
        <f>IF(OR(E201="",F201="DQ",F201="DNF",F201="DNS",F201=""),"-",VLOOKUP(C201,'FERDİ SONUÇ'!$B$6:$H$819,7,0))</f>
        <v>-</v>
      </c>
      <c r="H201" s="110"/>
    </row>
    <row r="202" spans="1:8" s="120" customFormat="1" ht="19.5" customHeight="1">
      <c r="A202" s="112"/>
      <c r="B202" s="113"/>
      <c r="C202" s="114">
        <f>IF(A203="","",INDEX('TAKIM KAYIT'!$C$6:$C$305,MATCH(C203,'TAKIM KAYIT'!$C$6:$C$305,0)-1))</f>
      </c>
      <c r="D202" s="115">
        <f>IF(ISERROR(VLOOKUP($C202,'START LİSTE'!$B$6:$G$1006,2,0)),"",VLOOKUP($C202,'START LİSTE'!$B$6:$G$1006,2,0))</f>
      </c>
      <c r="E202" s="116">
        <f>IF(ISERROR(VLOOKUP($C202,'START LİSTE'!$B$6:$G$1006,4,0)),"",VLOOKUP($C202,'START LİSTE'!$B$6:$G$1006,4,0))</f>
      </c>
      <c r="F202" s="125">
        <f>IF(ISERROR(VLOOKUP($C202,'FERDİ SONUÇ'!$B$6:$H$819,6,0)),"",VLOOKUP($C202,'FERDİ SONUÇ'!$B$6:$H$819,6,0))</f>
      </c>
      <c r="G202" s="122" t="str">
        <f>IF(OR(E202="",F202="DQ",F202="DNF",F202="DNS",F202=""),"-",VLOOKUP(C202,'FERDİ SONUÇ'!$B$6:$H$819,7,0))</f>
        <v>-</v>
      </c>
      <c r="H202" s="118"/>
    </row>
    <row r="203" spans="1:8" s="120" customFormat="1" ht="19.5" customHeight="1">
      <c r="A203" s="112">
        <f>IF(ISERROR(SMALL('TAKIM KAYIT'!$A$6:$A$305,40)),"",SMALL('TAKIM KAYIT'!$A$6:$A$305,40))</f>
      </c>
      <c r="B203" s="113">
        <f>IF(A203="","",VLOOKUP(A203,'TAKIM KAYIT'!$A$6:$J$305,2,FALSE))</f>
      </c>
      <c r="C203" s="114">
        <f>IF(A203="","",VLOOKUP(A203,'TAKIM KAYIT'!$A$6:$J$305,3,FALSE))</f>
      </c>
      <c r="D203" s="115">
        <f>IF(ISERROR(VLOOKUP($C203,'START LİSTE'!$B$6:$G$1006,2,0)),"",VLOOKUP($C203,'START LİSTE'!$B$6:$G$1006,2,0))</f>
      </c>
      <c r="E203" s="116">
        <f>IF(ISERROR(VLOOKUP($C203,'START LİSTE'!$B$6:$G$1006,4,0)),"",VLOOKUP($C203,'START LİSTE'!$B$6:$G$1006,4,0))</f>
      </c>
      <c r="F203" s="125">
        <f>IF(ISERROR(VLOOKUP($C203,'FERDİ SONUÇ'!$B$6:$H$819,6,0)),"",VLOOKUP($C203,'FERDİ SONUÇ'!$B$6:$H$819,6,0))</f>
      </c>
      <c r="G203" s="122" t="str">
        <f>IF(OR(E203="",F203="DQ",F203="DNF",F203="DNS",F203=""),"-",VLOOKUP(C203,'FERDİ SONUÇ'!$B$6:$H$819,7,0))</f>
        <v>-</v>
      </c>
      <c r="H203" s="118">
        <f>IF(A203="","",VLOOKUP(A203,'TAKIM KAYIT'!$A$6:$K$305,10,FALSE))</f>
      </c>
    </row>
    <row r="204" spans="1:8" s="120" customFormat="1" ht="19.5" customHeight="1">
      <c r="A204" s="112"/>
      <c r="B204" s="113"/>
      <c r="C204" s="114">
        <f>IF(A203="","",INDEX('TAKIM KAYIT'!$C$6:$C$305,MATCH(C203,'TAKIM KAYIT'!$C$6:$C$305,0)+1))</f>
      </c>
      <c r="D204" s="115">
        <f>IF(ISERROR(VLOOKUP($C204,'START LİSTE'!$B$6:$G$1006,2,0)),"",VLOOKUP($C204,'START LİSTE'!$B$6:$G$1006,2,0))</f>
      </c>
      <c r="E204" s="116">
        <f>IF(ISERROR(VLOOKUP($C204,'START LİSTE'!$B$6:$G$1006,4,0)),"",VLOOKUP($C204,'START LİSTE'!$B$6:$G$1006,4,0))</f>
      </c>
      <c r="F204" s="125">
        <f>IF(ISERROR(VLOOKUP($C204,'FERDİ SONUÇ'!$B$6:$H$819,6,0)),"",VLOOKUP($C204,'FERDİ SONUÇ'!$B$6:$H$819,6,0))</f>
      </c>
      <c r="G204" s="122" t="str">
        <f>IF(OR(E204="",F204="DQ",F204="DNF",F204="DNS",F204=""),"-",VLOOKUP(C204,'FERDİ SONUÇ'!$B$6:$H$819,7,0))</f>
        <v>-</v>
      </c>
      <c r="H204" s="118"/>
    </row>
    <row r="205" spans="1:8" s="120" customFormat="1" ht="19.5" customHeight="1">
      <c r="A205" s="112"/>
      <c r="B205" s="113"/>
      <c r="C205" s="114">
        <f>IF(A203="","",INDEX('TAKIM KAYIT'!$C$6:$C$305,MATCH(C203,'TAKIM KAYIT'!$C$6:$C$305,0)+2))</f>
      </c>
      <c r="D205" s="115">
        <f>IF(ISERROR(VLOOKUP($C205,'START LİSTE'!$B$6:$G$1006,2,0)),"",VLOOKUP($C205,'START LİSTE'!$B$6:$G$1006,2,0))</f>
      </c>
      <c r="E205" s="116">
        <f>IF(ISERROR(VLOOKUP($C205,'START LİSTE'!$B$6:$G$1006,4,0)),"",VLOOKUP($C205,'START LİSTE'!$B$6:$G$1006,4,0))</f>
      </c>
      <c r="F205" s="125">
        <f>IF(ISERROR(VLOOKUP($C205,'FERDİ SONUÇ'!$B$6:$H$819,6,0)),"",VLOOKUP($C205,'FERDİ SONUÇ'!$B$6:$H$819,6,0))</f>
      </c>
      <c r="G205" s="122" t="str">
        <f>IF(OR(E205="",F205="DQ",F205="DNF",F205="DNS",F205=""),"-",VLOOKUP(C205,'FERDİ SONUÇ'!$B$6:$H$819,7,0))</f>
        <v>-</v>
      </c>
      <c r="H205" s="118"/>
    </row>
    <row r="206" spans="1:8" s="120" customFormat="1" ht="19.5" customHeight="1">
      <c r="A206" s="104"/>
      <c r="B206" s="105"/>
      <c r="C206" s="106">
        <f>IF(A208="","",INDEX('TAKIM KAYIT'!$C$6:$C$305,MATCH(C208,'TAKIM KAYIT'!$C$6:$C$305,0)-2))</f>
      </c>
      <c r="D206" s="119">
        <f>IF(ISERROR(VLOOKUP($C206,'START LİSTE'!$B$6:$G$1006,2,0)),"",VLOOKUP($C206,'START LİSTE'!$B$6:$G$1006,2,0))</f>
      </c>
      <c r="E206" s="108">
        <f>IF(ISERROR(VLOOKUP($C206,'START LİSTE'!$B$6:$G$1006,4,0)),"",VLOOKUP($C206,'START LİSTE'!$B$6:$G$1006,4,0))</f>
      </c>
      <c r="F206" s="124">
        <f>IF(ISERROR(VLOOKUP($C206,'FERDİ SONUÇ'!$B$6:$H$819,6,0)),"",VLOOKUP($C206,'FERDİ SONUÇ'!$B$6:$H$819,6,0))</f>
      </c>
      <c r="G206" s="121" t="str">
        <f>IF(OR(E206="",F206="DQ",F206="DNF",F206="DNS",F206=""),"-",VLOOKUP(C206,'FERDİ SONUÇ'!$B$6:$H$819,7,0))</f>
        <v>-</v>
      </c>
      <c r="H206" s="110"/>
    </row>
    <row r="207" spans="1:8" s="120" customFormat="1" ht="19.5" customHeight="1">
      <c r="A207" s="112"/>
      <c r="B207" s="113"/>
      <c r="C207" s="114">
        <f>IF(A208="","",INDEX('TAKIM KAYIT'!$C$6:$C$305,MATCH(C208,'TAKIM KAYIT'!$C$6:$C$305,0)-1))</f>
      </c>
      <c r="D207" s="115">
        <f>IF(ISERROR(VLOOKUP($C207,'START LİSTE'!$B$6:$G$1006,2,0)),"",VLOOKUP($C207,'START LİSTE'!$B$6:$G$1006,2,0))</f>
      </c>
      <c r="E207" s="116">
        <f>IF(ISERROR(VLOOKUP($C207,'START LİSTE'!$B$6:$G$1006,4,0)),"",VLOOKUP($C207,'START LİSTE'!$B$6:$G$1006,4,0))</f>
      </c>
      <c r="F207" s="125">
        <f>IF(ISERROR(VLOOKUP($C207,'FERDİ SONUÇ'!$B$6:$H$819,6,0)),"",VLOOKUP($C207,'FERDİ SONUÇ'!$B$6:$H$819,6,0))</f>
      </c>
      <c r="G207" s="122" t="str">
        <f>IF(OR(E207="",F207="DQ",F207="DNF",F207="DNS",F207=""),"-",VLOOKUP(C207,'FERDİ SONUÇ'!$B$6:$H$819,7,0))</f>
        <v>-</v>
      </c>
      <c r="H207" s="118"/>
    </row>
    <row r="208" spans="1:8" s="120" customFormat="1" ht="19.5" customHeight="1">
      <c r="A208" s="112">
        <f>IF(ISERROR(SMALL('TAKIM KAYIT'!$A$6:$A$305,41)),"",SMALL('TAKIM KAYIT'!$A$6:$A$305,41))</f>
      </c>
      <c r="B208" s="113">
        <f>IF(A208="","",VLOOKUP(A208,'TAKIM KAYIT'!$A$6:$J$305,2,FALSE))</f>
      </c>
      <c r="C208" s="114">
        <f>IF(A208="","",VLOOKUP(A208,'TAKIM KAYIT'!$A$6:$J$305,3,FALSE))</f>
      </c>
      <c r="D208" s="115">
        <f>IF(ISERROR(VLOOKUP($C208,'START LİSTE'!$B$6:$G$1006,2,0)),"",VLOOKUP($C208,'START LİSTE'!$B$6:$G$1006,2,0))</f>
      </c>
      <c r="E208" s="116">
        <f>IF(ISERROR(VLOOKUP($C208,'START LİSTE'!$B$6:$G$1006,4,0)),"",VLOOKUP($C208,'START LİSTE'!$B$6:$G$1006,4,0))</f>
      </c>
      <c r="F208" s="125">
        <f>IF(ISERROR(VLOOKUP($C208,'FERDİ SONUÇ'!$B$6:$H$819,6,0)),"",VLOOKUP($C208,'FERDİ SONUÇ'!$B$6:$H$819,6,0))</f>
      </c>
      <c r="G208" s="122" t="str">
        <f>IF(OR(E208="",F208="DQ",F208="DNF",F208="DNS",F208=""),"-",VLOOKUP(C208,'FERDİ SONUÇ'!$B$6:$H$819,7,0))</f>
        <v>-</v>
      </c>
      <c r="H208" s="118">
        <f>IF(A208="","",VLOOKUP(A208,'TAKIM KAYIT'!$A$6:$K$305,10,FALSE))</f>
      </c>
    </row>
    <row r="209" spans="1:8" s="120" customFormat="1" ht="19.5" customHeight="1">
      <c r="A209" s="112"/>
      <c r="B209" s="113"/>
      <c r="C209" s="114">
        <f>IF(A208="","",INDEX('TAKIM KAYIT'!$C$6:$C$305,MATCH(C208,'TAKIM KAYIT'!$C$6:$C$305,0)+1))</f>
      </c>
      <c r="D209" s="115">
        <f>IF(ISERROR(VLOOKUP($C209,'START LİSTE'!$B$6:$G$1006,2,0)),"",VLOOKUP($C209,'START LİSTE'!$B$6:$G$1006,2,0))</f>
      </c>
      <c r="E209" s="116">
        <f>IF(ISERROR(VLOOKUP($C209,'START LİSTE'!$B$6:$G$1006,4,0)),"",VLOOKUP($C209,'START LİSTE'!$B$6:$G$1006,4,0))</f>
      </c>
      <c r="F209" s="125">
        <f>IF(ISERROR(VLOOKUP($C209,'FERDİ SONUÇ'!$B$6:$H$819,6,0)),"",VLOOKUP($C209,'FERDİ SONUÇ'!$B$6:$H$819,6,0))</f>
      </c>
      <c r="G209" s="122" t="str">
        <f>IF(OR(E209="",F209="DQ",F209="DNF",F209="DNS",F209=""),"-",VLOOKUP(C209,'FERDİ SONUÇ'!$B$6:$H$819,7,0))</f>
        <v>-</v>
      </c>
      <c r="H209" s="118"/>
    </row>
    <row r="210" spans="1:8" s="120" customFormat="1" ht="19.5" customHeight="1">
      <c r="A210" s="112"/>
      <c r="B210" s="113"/>
      <c r="C210" s="114">
        <f>IF(A208="","",INDEX('TAKIM KAYIT'!$C$6:$C$305,MATCH(C208,'TAKIM KAYIT'!$C$6:$C$305,0)+2))</f>
      </c>
      <c r="D210" s="115">
        <f>IF(ISERROR(VLOOKUP($C210,'START LİSTE'!$B$6:$G$1006,2,0)),"",VLOOKUP($C210,'START LİSTE'!$B$6:$G$1006,2,0))</f>
      </c>
      <c r="E210" s="116">
        <f>IF(ISERROR(VLOOKUP($C210,'START LİSTE'!$B$6:$G$1006,4,0)),"",VLOOKUP($C210,'START LİSTE'!$B$6:$G$1006,4,0))</f>
      </c>
      <c r="F210" s="125">
        <f>IF(ISERROR(VLOOKUP($C210,'FERDİ SONUÇ'!$B$6:$H$819,6,0)),"",VLOOKUP($C210,'FERDİ SONUÇ'!$B$6:$H$819,6,0))</f>
      </c>
      <c r="G210" s="122" t="str">
        <f>IF(OR(E210="",F210="DQ",F210="DNF",F210="DNS",F210=""),"-",VLOOKUP(C210,'FERDİ SONUÇ'!$B$6:$H$819,7,0))</f>
        <v>-</v>
      </c>
      <c r="H210" s="118"/>
    </row>
    <row r="211" spans="1:8" s="120" customFormat="1" ht="19.5" customHeight="1">
      <c r="A211" s="104"/>
      <c r="B211" s="105"/>
      <c r="C211" s="106">
        <f>IF(A213="","",INDEX('TAKIM KAYIT'!$C$6:$C$305,MATCH(C213,'TAKIM KAYIT'!$C$6:$C$305,0)-2))</f>
      </c>
      <c r="D211" s="119">
        <f>IF(ISERROR(VLOOKUP($C211,'START LİSTE'!$B$6:$G$1006,2,0)),"",VLOOKUP($C211,'START LİSTE'!$B$6:$G$1006,2,0))</f>
      </c>
      <c r="E211" s="108">
        <f>IF(ISERROR(VLOOKUP($C211,'START LİSTE'!$B$6:$G$1006,4,0)),"",VLOOKUP($C211,'START LİSTE'!$B$6:$G$1006,4,0))</f>
      </c>
      <c r="F211" s="124">
        <f>IF(ISERROR(VLOOKUP($C211,'FERDİ SONUÇ'!$B$6:$H$819,6,0)),"",VLOOKUP($C211,'FERDİ SONUÇ'!$B$6:$H$819,6,0))</f>
      </c>
      <c r="G211" s="121" t="str">
        <f>IF(OR(E211="",F211="DQ",F211="DNF",F211="DNS",F211=""),"-",VLOOKUP(C211,'FERDİ SONUÇ'!$B$6:$H$819,7,0))</f>
        <v>-</v>
      </c>
      <c r="H211" s="110"/>
    </row>
    <row r="212" spans="1:8" s="120" customFormat="1" ht="19.5" customHeight="1">
      <c r="A212" s="112"/>
      <c r="B212" s="113"/>
      <c r="C212" s="114">
        <f>IF(A213="","",INDEX('TAKIM KAYIT'!$C$6:$C$305,MATCH(C213,'TAKIM KAYIT'!$C$6:$C$305,0)-1))</f>
      </c>
      <c r="D212" s="115">
        <f>IF(ISERROR(VLOOKUP($C212,'START LİSTE'!$B$6:$G$1006,2,0)),"",VLOOKUP($C212,'START LİSTE'!$B$6:$G$1006,2,0))</f>
      </c>
      <c r="E212" s="116">
        <f>IF(ISERROR(VLOOKUP($C212,'START LİSTE'!$B$6:$G$1006,4,0)),"",VLOOKUP($C212,'START LİSTE'!$B$6:$G$1006,4,0))</f>
      </c>
      <c r="F212" s="125">
        <f>IF(ISERROR(VLOOKUP($C212,'FERDİ SONUÇ'!$B$6:$H$819,6,0)),"",VLOOKUP($C212,'FERDİ SONUÇ'!$B$6:$H$819,6,0))</f>
      </c>
      <c r="G212" s="122" t="str">
        <f>IF(OR(E212="",F212="DQ",F212="DNF",F212="DNS",F212=""),"-",VLOOKUP(C212,'FERDİ SONUÇ'!$B$6:$H$819,7,0))</f>
        <v>-</v>
      </c>
      <c r="H212" s="118"/>
    </row>
    <row r="213" spans="1:8" s="120" customFormat="1" ht="19.5" customHeight="1">
      <c r="A213" s="112">
        <f>IF(ISERROR(SMALL('TAKIM KAYIT'!$A$6:$A$305,42)),"",SMALL('TAKIM KAYIT'!$A$6:$A$305,42))</f>
      </c>
      <c r="B213" s="113">
        <f>IF(A213="","",VLOOKUP(A213,'TAKIM KAYIT'!$A$6:$J$305,2,FALSE))</f>
      </c>
      <c r="C213" s="114">
        <f>IF(A213="","",VLOOKUP(A213,'TAKIM KAYIT'!$A$6:$J$305,3,FALSE))</f>
      </c>
      <c r="D213" s="115">
        <f>IF(ISERROR(VLOOKUP($C213,'START LİSTE'!$B$6:$G$1006,2,0)),"",VLOOKUP($C213,'START LİSTE'!$B$6:$G$1006,2,0))</f>
      </c>
      <c r="E213" s="116">
        <f>IF(ISERROR(VLOOKUP($C213,'START LİSTE'!$B$6:$G$1006,4,0)),"",VLOOKUP($C213,'START LİSTE'!$B$6:$G$1006,4,0))</f>
      </c>
      <c r="F213" s="125">
        <f>IF(ISERROR(VLOOKUP($C213,'FERDİ SONUÇ'!$B$6:$H$819,6,0)),"",VLOOKUP($C213,'FERDİ SONUÇ'!$B$6:$H$819,6,0))</f>
      </c>
      <c r="G213" s="122" t="str">
        <f>IF(OR(E213="",F213="DQ",F213="DNF",F213="DNS",F213=""),"-",VLOOKUP(C213,'FERDİ SONUÇ'!$B$6:$H$819,7,0))</f>
        <v>-</v>
      </c>
      <c r="H213" s="118">
        <f>IF(A213="","",VLOOKUP(A213,'TAKIM KAYIT'!$A$6:$K$305,10,FALSE))</f>
      </c>
    </row>
    <row r="214" spans="1:8" s="120" customFormat="1" ht="19.5" customHeight="1">
      <c r="A214" s="112"/>
      <c r="B214" s="113"/>
      <c r="C214" s="114">
        <f>IF(A213="","",INDEX('TAKIM KAYIT'!$C$6:$C$305,MATCH(C213,'TAKIM KAYIT'!$C$6:$C$305,0)+1))</f>
      </c>
      <c r="D214" s="115">
        <f>IF(ISERROR(VLOOKUP($C214,'START LİSTE'!$B$6:$G$1006,2,0)),"",VLOOKUP($C214,'START LİSTE'!$B$6:$G$1006,2,0))</f>
      </c>
      <c r="E214" s="116">
        <f>IF(ISERROR(VLOOKUP($C214,'START LİSTE'!$B$6:$G$1006,4,0)),"",VLOOKUP($C214,'START LİSTE'!$B$6:$G$1006,4,0))</f>
      </c>
      <c r="F214" s="125">
        <f>IF(ISERROR(VLOOKUP($C214,'FERDİ SONUÇ'!$B$6:$H$819,6,0)),"",VLOOKUP($C214,'FERDİ SONUÇ'!$B$6:$H$819,6,0))</f>
      </c>
      <c r="G214" s="122" t="str">
        <f>IF(OR(E214="",F214="DQ",F214="DNF",F214="DNS",F214=""),"-",VLOOKUP(C214,'FERDİ SONUÇ'!$B$6:$H$819,7,0))</f>
        <v>-</v>
      </c>
      <c r="H214" s="118"/>
    </row>
    <row r="215" spans="1:8" s="120" customFormat="1" ht="19.5" customHeight="1">
      <c r="A215" s="112"/>
      <c r="B215" s="113"/>
      <c r="C215" s="114">
        <f>IF(A213="","",INDEX('TAKIM KAYIT'!$C$6:$C$305,MATCH(C213,'TAKIM KAYIT'!$C$6:$C$305,0)+2))</f>
      </c>
      <c r="D215" s="115">
        <f>IF(ISERROR(VLOOKUP($C215,'START LİSTE'!$B$6:$G$1006,2,0)),"",VLOOKUP($C215,'START LİSTE'!$B$6:$G$1006,2,0))</f>
      </c>
      <c r="E215" s="116">
        <f>IF(ISERROR(VLOOKUP($C215,'START LİSTE'!$B$6:$G$1006,4,0)),"",VLOOKUP($C215,'START LİSTE'!$B$6:$G$1006,4,0))</f>
      </c>
      <c r="F215" s="125">
        <f>IF(ISERROR(VLOOKUP($C215,'FERDİ SONUÇ'!$B$6:$H$819,6,0)),"",VLOOKUP($C215,'FERDİ SONUÇ'!$B$6:$H$819,6,0))</f>
      </c>
      <c r="G215" s="122" t="str">
        <f>IF(OR(E215="",F215="DQ",F215="DNF",F215="DNS",F215=""),"-",VLOOKUP(C215,'FERDİ SONUÇ'!$B$6:$H$819,7,0))</f>
        <v>-</v>
      </c>
      <c r="H215" s="118"/>
    </row>
    <row r="216" spans="1:8" s="120" customFormat="1" ht="19.5" customHeight="1">
      <c r="A216" s="104"/>
      <c r="B216" s="105"/>
      <c r="C216" s="106">
        <f>IF(A218="","",INDEX('TAKIM KAYIT'!$C$6:$C$305,MATCH(C218,'TAKIM KAYIT'!$C$6:$C$305,0)-2))</f>
      </c>
      <c r="D216" s="119">
        <f>IF(ISERROR(VLOOKUP($C216,'START LİSTE'!$B$6:$G$1006,2,0)),"",VLOOKUP($C216,'START LİSTE'!$B$6:$G$1006,2,0))</f>
      </c>
      <c r="E216" s="108">
        <f>IF(ISERROR(VLOOKUP($C216,'START LİSTE'!$B$6:$G$1006,4,0)),"",VLOOKUP($C216,'START LİSTE'!$B$6:$G$1006,4,0))</f>
      </c>
      <c r="F216" s="124">
        <f>IF(ISERROR(VLOOKUP($C216,'FERDİ SONUÇ'!$B$6:$H$819,6,0)),"",VLOOKUP($C216,'FERDİ SONUÇ'!$B$6:$H$819,6,0))</f>
      </c>
      <c r="G216" s="121" t="str">
        <f>IF(OR(E216="",F216="DQ",F216="DNF",F216="DNS",F216=""),"-",VLOOKUP(C216,'FERDİ SONUÇ'!$B$6:$H$819,7,0))</f>
        <v>-</v>
      </c>
      <c r="H216" s="110"/>
    </row>
    <row r="217" spans="1:8" s="120" customFormat="1" ht="19.5" customHeight="1">
      <c r="A217" s="112"/>
      <c r="B217" s="113"/>
      <c r="C217" s="114">
        <f>IF(A218="","",INDEX('TAKIM KAYIT'!$C$6:$C$305,MATCH(C218,'TAKIM KAYIT'!$C$6:$C$305,0)-1))</f>
      </c>
      <c r="D217" s="115">
        <f>IF(ISERROR(VLOOKUP($C217,'START LİSTE'!$B$6:$G$1006,2,0)),"",VLOOKUP($C217,'START LİSTE'!$B$6:$G$1006,2,0))</f>
      </c>
      <c r="E217" s="116">
        <f>IF(ISERROR(VLOOKUP($C217,'START LİSTE'!$B$6:$G$1006,4,0)),"",VLOOKUP($C217,'START LİSTE'!$B$6:$G$1006,4,0))</f>
      </c>
      <c r="F217" s="125">
        <f>IF(ISERROR(VLOOKUP($C217,'FERDİ SONUÇ'!$B$6:$H$819,6,0)),"",VLOOKUP($C217,'FERDİ SONUÇ'!$B$6:$H$819,6,0))</f>
      </c>
      <c r="G217" s="122" t="str">
        <f>IF(OR(E217="",F217="DQ",F217="DNF",F217="DNS",F217=""),"-",VLOOKUP(C217,'FERDİ SONUÇ'!$B$6:$H$819,7,0))</f>
        <v>-</v>
      </c>
      <c r="H217" s="118"/>
    </row>
    <row r="218" spans="1:8" s="120" customFormat="1" ht="19.5" customHeight="1">
      <c r="A218" s="112">
        <f>IF(ISERROR(SMALL('TAKIM KAYIT'!$A$6:$A$305,43)),"",SMALL('TAKIM KAYIT'!$A$6:$A$305,43))</f>
      </c>
      <c r="B218" s="113">
        <f>IF(A218="","",VLOOKUP(A218,'TAKIM KAYIT'!$A$6:$J$305,2,FALSE))</f>
      </c>
      <c r="C218" s="114">
        <f>IF(A218="","",VLOOKUP(A218,'TAKIM KAYIT'!$A$6:$J$305,3,FALSE))</f>
      </c>
      <c r="D218" s="115">
        <f>IF(ISERROR(VLOOKUP($C218,'START LİSTE'!$B$6:$G$1006,2,0)),"",VLOOKUP($C218,'START LİSTE'!$B$6:$G$1006,2,0))</f>
      </c>
      <c r="E218" s="116">
        <f>IF(ISERROR(VLOOKUP($C218,'START LİSTE'!$B$6:$G$1006,4,0)),"",VLOOKUP($C218,'START LİSTE'!$B$6:$G$1006,4,0))</f>
      </c>
      <c r="F218" s="125">
        <f>IF(ISERROR(VLOOKUP($C218,'FERDİ SONUÇ'!$B$6:$H$819,6,0)),"",VLOOKUP($C218,'FERDİ SONUÇ'!$B$6:$H$819,6,0))</f>
      </c>
      <c r="G218" s="122" t="str">
        <f>IF(OR(E218="",F218="DQ",F218="DNF",F218="DNS",F218=""),"-",VLOOKUP(C218,'FERDİ SONUÇ'!$B$6:$H$819,7,0))</f>
        <v>-</v>
      </c>
      <c r="H218" s="118">
        <f>IF(A218="","",VLOOKUP(A218,'TAKIM KAYIT'!$A$6:$K$305,10,FALSE))</f>
      </c>
    </row>
    <row r="219" spans="1:8" s="120" customFormat="1" ht="19.5" customHeight="1">
      <c r="A219" s="112"/>
      <c r="B219" s="113"/>
      <c r="C219" s="114">
        <f>IF(A218="","",INDEX('TAKIM KAYIT'!$C$6:$C$305,MATCH(C218,'TAKIM KAYIT'!$C$6:$C$305,0)+1))</f>
      </c>
      <c r="D219" s="115">
        <f>IF(ISERROR(VLOOKUP($C219,'START LİSTE'!$B$6:$G$1006,2,0)),"",VLOOKUP($C219,'START LİSTE'!$B$6:$G$1006,2,0))</f>
      </c>
      <c r="E219" s="116">
        <f>IF(ISERROR(VLOOKUP($C219,'START LİSTE'!$B$6:$G$1006,4,0)),"",VLOOKUP($C219,'START LİSTE'!$B$6:$G$1006,4,0))</f>
      </c>
      <c r="F219" s="125">
        <f>IF(ISERROR(VLOOKUP($C219,'FERDİ SONUÇ'!$B$6:$H$819,6,0)),"",VLOOKUP($C219,'FERDİ SONUÇ'!$B$6:$H$819,6,0))</f>
      </c>
      <c r="G219" s="122" t="str">
        <f>IF(OR(E219="",F219="DQ",F219="DNF",F219="DNS",F219=""),"-",VLOOKUP(C219,'FERDİ SONUÇ'!$B$6:$H$819,7,0))</f>
        <v>-</v>
      </c>
      <c r="H219" s="118"/>
    </row>
    <row r="220" spans="1:8" s="120" customFormat="1" ht="19.5" customHeight="1">
      <c r="A220" s="112"/>
      <c r="B220" s="113"/>
      <c r="C220" s="114">
        <f>IF(A218="","",INDEX('TAKIM KAYIT'!$C$6:$C$305,MATCH(C218,'TAKIM KAYIT'!$C$6:$C$305,0)+2))</f>
      </c>
      <c r="D220" s="115">
        <f>IF(ISERROR(VLOOKUP($C220,'START LİSTE'!$B$6:$G$1006,2,0)),"",VLOOKUP($C220,'START LİSTE'!$B$6:$G$1006,2,0))</f>
      </c>
      <c r="E220" s="116">
        <f>IF(ISERROR(VLOOKUP($C220,'START LİSTE'!$B$6:$G$1006,4,0)),"",VLOOKUP($C220,'START LİSTE'!$B$6:$G$1006,4,0))</f>
      </c>
      <c r="F220" s="125">
        <f>IF(ISERROR(VLOOKUP($C220,'FERDİ SONUÇ'!$B$6:$H$819,6,0)),"",VLOOKUP($C220,'FERDİ SONUÇ'!$B$6:$H$819,6,0))</f>
      </c>
      <c r="G220" s="122" t="str">
        <f>IF(OR(E220="",F220="DQ",F220="DNF",F220="DNS",F220=""),"-",VLOOKUP(C220,'FERDİ SONUÇ'!$B$6:$H$819,7,0))</f>
        <v>-</v>
      </c>
      <c r="H220" s="118"/>
    </row>
    <row r="221" spans="1:8" s="120" customFormat="1" ht="19.5" customHeight="1">
      <c r="A221" s="104"/>
      <c r="B221" s="105"/>
      <c r="C221" s="106">
        <f>IF(A223="","",INDEX('TAKIM KAYIT'!$C$6:$C$305,MATCH(C223,'TAKIM KAYIT'!$C$6:$C$305,0)-2))</f>
      </c>
      <c r="D221" s="119">
        <f>IF(ISERROR(VLOOKUP($C221,'START LİSTE'!$B$6:$G$1006,2,0)),"",VLOOKUP($C221,'START LİSTE'!$B$6:$G$1006,2,0))</f>
      </c>
      <c r="E221" s="108">
        <f>IF(ISERROR(VLOOKUP($C221,'START LİSTE'!$B$6:$G$1006,4,0)),"",VLOOKUP($C221,'START LİSTE'!$B$6:$G$1006,4,0))</f>
      </c>
      <c r="F221" s="124">
        <f>IF(ISERROR(VLOOKUP($C221,'FERDİ SONUÇ'!$B$6:$H$819,6,0)),"",VLOOKUP($C221,'FERDİ SONUÇ'!$B$6:$H$819,6,0))</f>
      </c>
      <c r="G221" s="121" t="str">
        <f>IF(OR(E221="",F221="DQ",F221="DNF",F221="DNS",F221=""),"-",VLOOKUP(C221,'FERDİ SONUÇ'!$B$6:$H$819,7,0))</f>
        <v>-</v>
      </c>
      <c r="H221" s="110"/>
    </row>
    <row r="222" spans="1:8" s="120" customFormat="1" ht="19.5" customHeight="1">
      <c r="A222" s="112"/>
      <c r="B222" s="113"/>
      <c r="C222" s="114">
        <f>IF(A223="","",INDEX('TAKIM KAYIT'!$C$6:$C$305,MATCH(C223,'TAKIM KAYIT'!$C$6:$C$305,0)-1))</f>
      </c>
      <c r="D222" s="115">
        <f>IF(ISERROR(VLOOKUP($C222,'START LİSTE'!$B$6:$G$1006,2,0)),"",VLOOKUP($C222,'START LİSTE'!$B$6:$G$1006,2,0))</f>
      </c>
      <c r="E222" s="116">
        <f>IF(ISERROR(VLOOKUP($C222,'START LİSTE'!$B$6:$G$1006,4,0)),"",VLOOKUP($C222,'START LİSTE'!$B$6:$G$1006,4,0))</f>
      </c>
      <c r="F222" s="125">
        <f>IF(ISERROR(VLOOKUP($C222,'FERDİ SONUÇ'!$B$6:$H$819,6,0)),"",VLOOKUP($C222,'FERDİ SONUÇ'!$B$6:$H$819,6,0))</f>
      </c>
      <c r="G222" s="122" t="str">
        <f>IF(OR(E222="",F222="DQ",F222="DNF",F222="DNS",F222=""),"-",VLOOKUP(C222,'FERDİ SONUÇ'!$B$6:$H$819,7,0))</f>
        <v>-</v>
      </c>
      <c r="H222" s="118"/>
    </row>
    <row r="223" spans="1:8" s="120" customFormat="1" ht="19.5" customHeight="1">
      <c r="A223" s="112">
        <f>IF(ISERROR(SMALL('TAKIM KAYIT'!$A$6:$A$305,44)),"",SMALL('TAKIM KAYIT'!$A$6:$A$305,44))</f>
      </c>
      <c r="B223" s="113">
        <f>IF(A223="","",VLOOKUP(A223,'TAKIM KAYIT'!$A$6:$J$305,2,FALSE))</f>
      </c>
      <c r="C223" s="114">
        <f>IF(A223="","",VLOOKUP(A223,'TAKIM KAYIT'!$A$6:$J$305,3,FALSE))</f>
      </c>
      <c r="D223" s="115">
        <f>IF(ISERROR(VLOOKUP($C223,'START LİSTE'!$B$6:$G$1006,2,0)),"",VLOOKUP($C223,'START LİSTE'!$B$6:$G$1006,2,0))</f>
      </c>
      <c r="E223" s="116">
        <f>IF(ISERROR(VLOOKUP($C223,'START LİSTE'!$B$6:$G$1006,4,0)),"",VLOOKUP($C223,'START LİSTE'!$B$6:$G$1006,4,0))</f>
      </c>
      <c r="F223" s="125">
        <f>IF(ISERROR(VLOOKUP($C223,'FERDİ SONUÇ'!$B$6:$H$819,6,0)),"",VLOOKUP($C223,'FERDİ SONUÇ'!$B$6:$H$819,6,0))</f>
      </c>
      <c r="G223" s="122" t="str">
        <f>IF(OR(E223="",F223="DQ",F223="DNF",F223="DNS",F223=""),"-",VLOOKUP(C223,'FERDİ SONUÇ'!$B$6:$H$819,7,0))</f>
        <v>-</v>
      </c>
      <c r="H223" s="118">
        <f>IF(A223="","",VLOOKUP(A223,'TAKIM KAYIT'!$A$6:$K$305,10,FALSE))</f>
      </c>
    </row>
    <row r="224" spans="1:8" s="120" customFormat="1" ht="19.5" customHeight="1">
      <c r="A224" s="112"/>
      <c r="B224" s="113"/>
      <c r="C224" s="114">
        <f>IF(A223="","",INDEX('TAKIM KAYIT'!$C$6:$C$305,MATCH(C223,'TAKIM KAYIT'!$C$6:$C$305,0)+1))</f>
      </c>
      <c r="D224" s="115">
        <f>IF(ISERROR(VLOOKUP($C224,'START LİSTE'!$B$6:$G$1006,2,0)),"",VLOOKUP($C224,'START LİSTE'!$B$6:$G$1006,2,0))</f>
      </c>
      <c r="E224" s="116">
        <f>IF(ISERROR(VLOOKUP($C224,'START LİSTE'!$B$6:$G$1006,4,0)),"",VLOOKUP($C224,'START LİSTE'!$B$6:$G$1006,4,0))</f>
      </c>
      <c r="F224" s="125">
        <f>IF(ISERROR(VLOOKUP($C224,'FERDİ SONUÇ'!$B$6:$H$819,6,0)),"",VLOOKUP($C224,'FERDİ SONUÇ'!$B$6:$H$819,6,0))</f>
      </c>
      <c r="G224" s="122" t="str">
        <f>IF(OR(E224="",F224="DQ",F224="DNF",F224="DNS",F224=""),"-",VLOOKUP(C224,'FERDİ SONUÇ'!$B$6:$H$819,7,0))</f>
        <v>-</v>
      </c>
      <c r="H224" s="118"/>
    </row>
    <row r="225" spans="1:8" s="120" customFormat="1" ht="19.5" customHeight="1">
      <c r="A225" s="112"/>
      <c r="B225" s="113"/>
      <c r="C225" s="114">
        <f>IF(A223="","",INDEX('TAKIM KAYIT'!$C$6:$C$305,MATCH(C223,'TAKIM KAYIT'!$C$6:$C$305,0)+2))</f>
      </c>
      <c r="D225" s="115">
        <f>IF(ISERROR(VLOOKUP($C225,'START LİSTE'!$B$6:$G$1006,2,0)),"",VLOOKUP($C225,'START LİSTE'!$B$6:$G$1006,2,0))</f>
      </c>
      <c r="E225" s="116">
        <f>IF(ISERROR(VLOOKUP($C225,'START LİSTE'!$B$6:$G$1006,4,0)),"",VLOOKUP($C225,'START LİSTE'!$B$6:$G$1006,4,0))</f>
      </c>
      <c r="F225" s="125">
        <f>IF(ISERROR(VLOOKUP($C225,'FERDİ SONUÇ'!$B$6:$H$819,6,0)),"",VLOOKUP($C225,'FERDİ SONUÇ'!$B$6:$H$819,6,0))</f>
      </c>
      <c r="G225" s="122" t="str">
        <f>IF(OR(E225="",F225="DQ",F225="DNF",F225="DNS",F225=""),"-",VLOOKUP(C225,'FERDİ SONUÇ'!$B$6:$H$819,7,0))</f>
        <v>-</v>
      </c>
      <c r="H225" s="118"/>
    </row>
    <row r="226" spans="1:8" s="120" customFormat="1" ht="19.5" customHeight="1">
      <c r="A226" s="104"/>
      <c r="B226" s="105"/>
      <c r="C226" s="106">
        <f>IF(A228="","",INDEX('TAKIM KAYIT'!$C$6:$C$305,MATCH(C228,'TAKIM KAYIT'!$C$6:$C$305,0)-2))</f>
      </c>
      <c r="D226" s="119">
        <f>IF(ISERROR(VLOOKUP($C226,'START LİSTE'!$B$6:$G$1006,2,0)),"",VLOOKUP($C226,'START LİSTE'!$B$6:$G$1006,2,0))</f>
      </c>
      <c r="E226" s="108">
        <f>IF(ISERROR(VLOOKUP($C226,'START LİSTE'!$B$6:$G$1006,4,0)),"",VLOOKUP($C226,'START LİSTE'!$B$6:$G$1006,4,0))</f>
      </c>
      <c r="F226" s="124">
        <f>IF(ISERROR(VLOOKUP($C226,'FERDİ SONUÇ'!$B$6:$H$819,6,0)),"",VLOOKUP($C226,'FERDİ SONUÇ'!$B$6:$H$819,6,0))</f>
      </c>
      <c r="G226" s="121" t="str">
        <f>IF(OR(E226="",F226="DQ",F226="DNF",F226="DNS",F226=""),"-",VLOOKUP(C226,'FERDİ SONUÇ'!$B$6:$H$819,7,0))</f>
        <v>-</v>
      </c>
      <c r="H226" s="110"/>
    </row>
    <row r="227" spans="1:8" s="120" customFormat="1" ht="19.5" customHeight="1">
      <c r="A227" s="112"/>
      <c r="B227" s="113"/>
      <c r="C227" s="114">
        <f>IF(A228="","",INDEX('TAKIM KAYIT'!$C$6:$C$305,MATCH(C228,'TAKIM KAYIT'!$C$6:$C$305,0)-1))</f>
      </c>
      <c r="D227" s="115">
        <f>IF(ISERROR(VLOOKUP($C227,'START LİSTE'!$B$6:$G$1006,2,0)),"",VLOOKUP($C227,'START LİSTE'!$B$6:$G$1006,2,0))</f>
      </c>
      <c r="E227" s="116">
        <f>IF(ISERROR(VLOOKUP($C227,'START LİSTE'!$B$6:$G$1006,4,0)),"",VLOOKUP($C227,'START LİSTE'!$B$6:$G$1006,4,0))</f>
      </c>
      <c r="F227" s="125">
        <f>IF(ISERROR(VLOOKUP($C227,'FERDİ SONUÇ'!$B$6:$H$819,6,0)),"",VLOOKUP($C227,'FERDİ SONUÇ'!$B$6:$H$819,6,0))</f>
      </c>
      <c r="G227" s="122" t="str">
        <f>IF(OR(E227="",F227="DQ",F227="DNF",F227="DNS",F227=""),"-",VLOOKUP(C227,'FERDİ SONUÇ'!$B$6:$H$819,7,0))</f>
        <v>-</v>
      </c>
      <c r="H227" s="118"/>
    </row>
    <row r="228" spans="1:8" s="120" customFormat="1" ht="19.5" customHeight="1">
      <c r="A228" s="112">
        <f>IF(ISERROR(SMALL('TAKIM KAYIT'!$A$6:$A$305,45)),"",SMALL('TAKIM KAYIT'!$A$6:$A$305,45))</f>
      </c>
      <c r="B228" s="113">
        <f>IF(A228="","",VLOOKUP(A228,'TAKIM KAYIT'!$A$6:$J$305,2,FALSE))</f>
      </c>
      <c r="C228" s="114">
        <f>IF(A228="","",VLOOKUP(A228,'TAKIM KAYIT'!$A$6:$J$305,3,FALSE))</f>
      </c>
      <c r="D228" s="115">
        <f>IF(ISERROR(VLOOKUP($C228,'START LİSTE'!$B$6:$G$1006,2,0)),"",VLOOKUP($C228,'START LİSTE'!$B$6:$G$1006,2,0))</f>
      </c>
      <c r="E228" s="116">
        <f>IF(ISERROR(VLOOKUP($C228,'START LİSTE'!$B$6:$G$1006,4,0)),"",VLOOKUP($C228,'START LİSTE'!$B$6:$G$1006,4,0))</f>
      </c>
      <c r="F228" s="125">
        <f>IF(ISERROR(VLOOKUP($C228,'FERDİ SONUÇ'!$B$6:$H$819,6,0)),"",VLOOKUP($C228,'FERDİ SONUÇ'!$B$6:$H$819,6,0))</f>
      </c>
      <c r="G228" s="122" t="str">
        <f>IF(OR(E228="",F228="DQ",F228="DNF",F228="DNS",F228=""),"-",VLOOKUP(C228,'FERDİ SONUÇ'!$B$6:$H$819,7,0))</f>
        <v>-</v>
      </c>
      <c r="H228" s="118">
        <f>IF(A228="","",VLOOKUP(A228,'TAKIM KAYIT'!$A$6:$K$305,10,FALSE))</f>
      </c>
    </row>
    <row r="229" spans="1:8" s="120" customFormat="1" ht="19.5" customHeight="1">
      <c r="A229" s="112"/>
      <c r="B229" s="113"/>
      <c r="C229" s="114">
        <f>IF(A228="","",INDEX('TAKIM KAYIT'!$C$6:$C$305,MATCH(C228,'TAKIM KAYIT'!$C$6:$C$305,0)+1))</f>
      </c>
      <c r="D229" s="115">
        <f>IF(ISERROR(VLOOKUP($C229,'START LİSTE'!$B$6:$G$1006,2,0)),"",VLOOKUP($C229,'START LİSTE'!$B$6:$G$1006,2,0))</f>
      </c>
      <c r="E229" s="116">
        <f>IF(ISERROR(VLOOKUP($C229,'START LİSTE'!$B$6:$G$1006,4,0)),"",VLOOKUP($C229,'START LİSTE'!$B$6:$G$1006,4,0))</f>
      </c>
      <c r="F229" s="125">
        <f>IF(ISERROR(VLOOKUP($C229,'FERDİ SONUÇ'!$B$6:$H$819,6,0)),"",VLOOKUP($C229,'FERDİ SONUÇ'!$B$6:$H$819,6,0))</f>
      </c>
      <c r="G229" s="122" t="str">
        <f>IF(OR(E229="",F229="DQ",F229="DNF",F229="DNS",F229=""),"-",VLOOKUP(C229,'FERDİ SONUÇ'!$B$6:$H$819,7,0))</f>
        <v>-</v>
      </c>
      <c r="H229" s="118"/>
    </row>
    <row r="230" spans="1:8" s="120" customFormat="1" ht="19.5" customHeight="1">
      <c r="A230" s="112"/>
      <c r="B230" s="113"/>
      <c r="C230" s="114">
        <f>IF(A228="","",INDEX('TAKIM KAYIT'!$C$6:$C$305,MATCH(C228,'TAKIM KAYIT'!$C$6:$C$305,0)+2))</f>
      </c>
      <c r="D230" s="115">
        <f>IF(ISERROR(VLOOKUP($C230,'START LİSTE'!$B$6:$G$1006,2,0)),"",VLOOKUP($C230,'START LİSTE'!$B$6:$G$1006,2,0))</f>
      </c>
      <c r="E230" s="116">
        <f>IF(ISERROR(VLOOKUP($C230,'START LİSTE'!$B$6:$G$1006,4,0)),"",VLOOKUP($C230,'START LİSTE'!$B$6:$G$1006,4,0))</f>
      </c>
      <c r="F230" s="125">
        <f>IF(ISERROR(VLOOKUP($C230,'FERDİ SONUÇ'!$B$6:$H$819,6,0)),"",VLOOKUP($C230,'FERDİ SONUÇ'!$B$6:$H$819,6,0))</f>
      </c>
      <c r="G230" s="122" t="str">
        <f>IF(OR(E230="",F230="DQ",F230="DNF",F230="DNS",F230=""),"-",VLOOKUP(C230,'FERDİ SONUÇ'!$B$6:$H$819,7,0))</f>
        <v>-</v>
      </c>
      <c r="H230" s="118"/>
    </row>
    <row r="231" spans="1:8" s="120" customFormat="1" ht="19.5" customHeight="1">
      <c r="A231" s="104"/>
      <c r="B231" s="105"/>
      <c r="C231" s="106">
        <f>IF(A233="","",INDEX('TAKIM KAYIT'!$C$6:$C$305,MATCH(C233,'TAKIM KAYIT'!$C$6:$C$305,0)-2))</f>
      </c>
      <c r="D231" s="119">
        <f>IF(ISERROR(VLOOKUP($C231,'START LİSTE'!$B$6:$G$1006,2,0)),"",VLOOKUP($C231,'START LİSTE'!$B$6:$G$1006,2,0))</f>
      </c>
      <c r="E231" s="108">
        <f>IF(ISERROR(VLOOKUP($C231,'START LİSTE'!$B$6:$G$1006,4,0)),"",VLOOKUP($C231,'START LİSTE'!$B$6:$G$1006,4,0))</f>
      </c>
      <c r="F231" s="124">
        <f>IF(ISERROR(VLOOKUP($C231,'FERDİ SONUÇ'!$B$6:$H$819,6,0)),"",VLOOKUP($C231,'FERDİ SONUÇ'!$B$6:$H$819,6,0))</f>
      </c>
      <c r="G231" s="121" t="str">
        <f>IF(OR(E231="",F231="DQ",F231="DNF",F231="DNS",F231=""),"-",VLOOKUP(C231,'FERDİ SONUÇ'!$B$6:$H$819,7,0))</f>
        <v>-</v>
      </c>
      <c r="H231" s="110"/>
    </row>
    <row r="232" spans="1:8" s="120" customFormat="1" ht="19.5" customHeight="1">
      <c r="A232" s="112"/>
      <c r="B232" s="113"/>
      <c r="C232" s="114">
        <f>IF(A233="","",INDEX('TAKIM KAYIT'!$C$6:$C$305,MATCH(C233,'TAKIM KAYIT'!$C$6:$C$305,0)-1))</f>
      </c>
      <c r="D232" s="115">
        <f>IF(ISERROR(VLOOKUP($C232,'START LİSTE'!$B$6:$G$1006,2,0)),"",VLOOKUP($C232,'START LİSTE'!$B$6:$G$1006,2,0))</f>
      </c>
      <c r="E232" s="116">
        <f>IF(ISERROR(VLOOKUP($C232,'START LİSTE'!$B$6:$G$1006,4,0)),"",VLOOKUP($C232,'START LİSTE'!$B$6:$G$1006,4,0))</f>
      </c>
      <c r="F232" s="125">
        <f>IF(ISERROR(VLOOKUP($C232,'FERDİ SONUÇ'!$B$6:$H$819,6,0)),"",VLOOKUP($C232,'FERDİ SONUÇ'!$B$6:$H$819,6,0))</f>
      </c>
      <c r="G232" s="122" t="str">
        <f>IF(OR(E232="",F232="DQ",F232="DNF",F232="DNS",F232=""),"-",VLOOKUP(C232,'FERDİ SONUÇ'!$B$6:$H$819,7,0))</f>
        <v>-</v>
      </c>
      <c r="H232" s="118"/>
    </row>
    <row r="233" spans="1:8" s="120" customFormat="1" ht="19.5" customHeight="1">
      <c r="A233" s="112">
        <f>IF(ISERROR(SMALL('TAKIM KAYIT'!$A$6:$A$305,46)),"",SMALL('TAKIM KAYIT'!$A$6:$A$305,46))</f>
      </c>
      <c r="B233" s="113">
        <f>IF(A233="","",VLOOKUP(A233,'TAKIM KAYIT'!$A$6:$J$305,2,FALSE))</f>
      </c>
      <c r="C233" s="114">
        <f>IF(A233="","",VLOOKUP(A233,'TAKIM KAYIT'!$A$6:$J$305,3,FALSE))</f>
      </c>
      <c r="D233" s="115">
        <f>IF(ISERROR(VLOOKUP($C233,'START LİSTE'!$B$6:$G$1006,2,0)),"",VLOOKUP($C233,'START LİSTE'!$B$6:$G$1006,2,0))</f>
      </c>
      <c r="E233" s="116">
        <f>IF(ISERROR(VLOOKUP($C233,'START LİSTE'!$B$6:$G$1006,4,0)),"",VLOOKUP($C233,'START LİSTE'!$B$6:$G$1006,4,0))</f>
      </c>
      <c r="F233" s="125">
        <f>IF(ISERROR(VLOOKUP($C233,'FERDİ SONUÇ'!$B$6:$H$819,6,0)),"",VLOOKUP($C233,'FERDİ SONUÇ'!$B$6:$H$819,6,0))</f>
      </c>
      <c r="G233" s="122" t="str">
        <f>IF(OR(E233="",F233="DQ",F233="DNF",F233="DNS",F233=""),"-",VLOOKUP(C233,'FERDİ SONUÇ'!$B$6:$H$819,7,0))</f>
        <v>-</v>
      </c>
      <c r="H233" s="118">
        <f>IF(A233="","",VLOOKUP(A233,'TAKIM KAYIT'!$A$6:$K$305,10,FALSE))</f>
      </c>
    </row>
    <row r="234" spans="1:8" s="120" customFormat="1" ht="19.5" customHeight="1">
      <c r="A234" s="112"/>
      <c r="B234" s="113"/>
      <c r="C234" s="114">
        <f>IF(A233="","",INDEX('TAKIM KAYIT'!$C$6:$C$305,MATCH(C233,'TAKIM KAYIT'!$C$6:$C$305,0)+1))</f>
      </c>
      <c r="D234" s="115">
        <f>IF(ISERROR(VLOOKUP($C234,'START LİSTE'!$B$6:$G$1006,2,0)),"",VLOOKUP($C234,'START LİSTE'!$B$6:$G$1006,2,0))</f>
      </c>
      <c r="E234" s="116">
        <f>IF(ISERROR(VLOOKUP($C234,'START LİSTE'!$B$6:$G$1006,4,0)),"",VLOOKUP($C234,'START LİSTE'!$B$6:$G$1006,4,0))</f>
      </c>
      <c r="F234" s="125">
        <f>IF(ISERROR(VLOOKUP($C234,'FERDİ SONUÇ'!$B$6:$H$819,6,0)),"",VLOOKUP($C234,'FERDİ SONUÇ'!$B$6:$H$819,6,0))</f>
      </c>
      <c r="G234" s="122" t="str">
        <f>IF(OR(E234="",F234="DQ",F234="DNF",F234="DNS",F234=""),"-",VLOOKUP(C234,'FERDİ SONUÇ'!$B$6:$H$819,7,0))</f>
        <v>-</v>
      </c>
      <c r="H234" s="118"/>
    </row>
    <row r="235" spans="1:8" s="120" customFormat="1" ht="19.5" customHeight="1">
      <c r="A235" s="112"/>
      <c r="B235" s="113"/>
      <c r="C235" s="114">
        <f>IF(A233="","",INDEX('TAKIM KAYIT'!$C$6:$C$305,MATCH(C233,'TAKIM KAYIT'!$C$6:$C$305,0)+2))</f>
      </c>
      <c r="D235" s="115">
        <f>IF(ISERROR(VLOOKUP($C235,'START LİSTE'!$B$6:$G$1006,2,0)),"",VLOOKUP($C235,'START LİSTE'!$B$6:$G$1006,2,0))</f>
      </c>
      <c r="E235" s="116">
        <f>IF(ISERROR(VLOOKUP($C235,'START LİSTE'!$B$6:$G$1006,4,0)),"",VLOOKUP($C235,'START LİSTE'!$B$6:$G$1006,4,0))</f>
      </c>
      <c r="F235" s="125">
        <f>IF(ISERROR(VLOOKUP($C235,'FERDİ SONUÇ'!$B$6:$H$819,6,0)),"",VLOOKUP($C235,'FERDİ SONUÇ'!$B$6:$H$819,6,0))</f>
      </c>
      <c r="G235" s="122" t="str">
        <f>IF(OR(E235="",F235="DQ",F235="DNF",F235="DNS",F235=""),"-",VLOOKUP(C235,'FERDİ SONUÇ'!$B$6:$H$819,7,0))</f>
        <v>-</v>
      </c>
      <c r="H235" s="118"/>
    </row>
    <row r="236" spans="1:8" s="120" customFormat="1" ht="19.5" customHeight="1">
      <c r="A236" s="104"/>
      <c r="B236" s="105"/>
      <c r="C236" s="106">
        <f>IF(A238="","",INDEX('TAKIM KAYIT'!$C$6:$C$305,MATCH(C238,'TAKIM KAYIT'!$C$6:$C$305,0)-2))</f>
      </c>
      <c r="D236" s="119">
        <f>IF(ISERROR(VLOOKUP($C236,'START LİSTE'!$B$6:$G$1006,2,0)),"",VLOOKUP($C236,'START LİSTE'!$B$6:$G$1006,2,0))</f>
      </c>
      <c r="E236" s="108">
        <f>IF(ISERROR(VLOOKUP($C236,'START LİSTE'!$B$6:$G$1006,4,0)),"",VLOOKUP($C236,'START LİSTE'!$B$6:$G$1006,4,0))</f>
      </c>
      <c r="F236" s="124">
        <f>IF(ISERROR(VLOOKUP($C236,'FERDİ SONUÇ'!$B$6:$H$819,6,0)),"",VLOOKUP($C236,'FERDİ SONUÇ'!$B$6:$H$819,6,0))</f>
      </c>
      <c r="G236" s="121" t="str">
        <f>IF(OR(E236="",F236="DQ",F236="DNF",F236="DNS",F236=""),"-",VLOOKUP(C236,'FERDİ SONUÇ'!$B$6:$H$819,7,0))</f>
        <v>-</v>
      </c>
      <c r="H236" s="110"/>
    </row>
    <row r="237" spans="1:8" s="120" customFormat="1" ht="19.5" customHeight="1">
      <c r="A237" s="112"/>
      <c r="B237" s="113"/>
      <c r="C237" s="114">
        <f>IF(A238="","",INDEX('TAKIM KAYIT'!$C$6:$C$305,MATCH(C238,'TAKIM KAYIT'!$C$6:$C$305,0)-1))</f>
      </c>
      <c r="D237" s="115">
        <f>IF(ISERROR(VLOOKUP($C237,'START LİSTE'!$B$6:$G$1006,2,0)),"",VLOOKUP($C237,'START LİSTE'!$B$6:$G$1006,2,0))</f>
      </c>
      <c r="E237" s="116">
        <f>IF(ISERROR(VLOOKUP($C237,'START LİSTE'!$B$6:$G$1006,4,0)),"",VLOOKUP($C237,'START LİSTE'!$B$6:$G$1006,4,0))</f>
      </c>
      <c r="F237" s="125">
        <f>IF(ISERROR(VLOOKUP($C237,'FERDİ SONUÇ'!$B$6:$H$819,6,0)),"",VLOOKUP($C237,'FERDİ SONUÇ'!$B$6:$H$819,6,0))</f>
      </c>
      <c r="G237" s="122" t="str">
        <f>IF(OR(E237="",F237="DQ",F237="DNF",F237="DNS",F237=""),"-",VLOOKUP(C237,'FERDİ SONUÇ'!$B$6:$H$819,7,0))</f>
        <v>-</v>
      </c>
      <c r="H237" s="118"/>
    </row>
    <row r="238" spans="1:8" s="120" customFormat="1" ht="19.5" customHeight="1">
      <c r="A238" s="112">
        <f>IF(ISERROR(SMALL('TAKIM KAYIT'!$A$6:$A$305,47)),"",SMALL('TAKIM KAYIT'!$A$6:$A$305,47))</f>
      </c>
      <c r="B238" s="113">
        <f>IF(A238="","",VLOOKUP(A238,'TAKIM KAYIT'!$A$6:$J$305,2,FALSE))</f>
      </c>
      <c r="C238" s="114">
        <f>IF(A238="","",VLOOKUP(A238,'TAKIM KAYIT'!$A$6:$J$305,3,FALSE))</f>
      </c>
      <c r="D238" s="115">
        <f>IF(ISERROR(VLOOKUP($C238,'START LİSTE'!$B$6:$G$1006,2,0)),"",VLOOKUP($C238,'START LİSTE'!$B$6:$G$1006,2,0))</f>
      </c>
      <c r="E238" s="116">
        <f>IF(ISERROR(VLOOKUP($C238,'START LİSTE'!$B$6:$G$1006,4,0)),"",VLOOKUP($C238,'START LİSTE'!$B$6:$G$1006,4,0))</f>
      </c>
      <c r="F238" s="125">
        <f>IF(ISERROR(VLOOKUP($C238,'FERDİ SONUÇ'!$B$6:$H$819,6,0)),"",VLOOKUP($C238,'FERDİ SONUÇ'!$B$6:$H$819,6,0))</f>
      </c>
      <c r="G238" s="122" t="str">
        <f>IF(OR(E238="",F238="DQ",F238="DNF",F238="DNS",F238=""),"-",VLOOKUP(C238,'FERDİ SONUÇ'!$B$6:$H$819,7,0))</f>
        <v>-</v>
      </c>
      <c r="H238" s="118">
        <f>IF(A238="","",VLOOKUP(A238,'TAKIM KAYIT'!$A$6:$K$305,10,FALSE))</f>
      </c>
    </row>
    <row r="239" spans="1:8" s="120" customFormat="1" ht="19.5" customHeight="1">
      <c r="A239" s="112"/>
      <c r="B239" s="113"/>
      <c r="C239" s="114">
        <f>IF(A238="","",INDEX('TAKIM KAYIT'!$C$6:$C$305,MATCH(C238,'TAKIM KAYIT'!$C$6:$C$305,0)+1))</f>
      </c>
      <c r="D239" s="115">
        <f>IF(ISERROR(VLOOKUP($C239,'START LİSTE'!$B$6:$G$1006,2,0)),"",VLOOKUP($C239,'START LİSTE'!$B$6:$G$1006,2,0))</f>
      </c>
      <c r="E239" s="116">
        <f>IF(ISERROR(VLOOKUP($C239,'START LİSTE'!$B$6:$G$1006,4,0)),"",VLOOKUP($C239,'START LİSTE'!$B$6:$G$1006,4,0))</f>
      </c>
      <c r="F239" s="125">
        <f>IF(ISERROR(VLOOKUP($C239,'FERDİ SONUÇ'!$B$6:$H$819,6,0)),"",VLOOKUP($C239,'FERDİ SONUÇ'!$B$6:$H$819,6,0))</f>
      </c>
      <c r="G239" s="122" t="str">
        <f>IF(OR(E239="",F239="DQ",F239="DNF",F239="DNS",F239=""),"-",VLOOKUP(C239,'FERDİ SONUÇ'!$B$6:$H$819,7,0))</f>
        <v>-</v>
      </c>
      <c r="H239" s="118"/>
    </row>
    <row r="240" spans="1:8" s="120" customFormat="1" ht="19.5" customHeight="1">
      <c r="A240" s="112"/>
      <c r="B240" s="113"/>
      <c r="C240" s="114">
        <f>IF(A238="","",INDEX('TAKIM KAYIT'!$C$6:$C$305,MATCH(C238,'TAKIM KAYIT'!$C$6:$C$305,0)+2))</f>
      </c>
      <c r="D240" s="115">
        <f>IF(ISERROR(VLOOKUP($C240,'START LİSTE'!$B$6:$G$1006,2,0)),"",VLOOKUP($C240,'START LİSTE'!$B$6:$G$1006,2,0))</f>
      </c>
      <c r="E240" s="116">
        <f>IF(ISERROR(VLOOKUP($C240,'START LİSTE'!$B$6:$G$1006,4,0)),"",VLOOKUP($C240,'START LİSTE'!$B$6:$G$1006,4,0))</f>
      </c>
      <c r="F240" s="125">
        <f>IF(ISERROR(VLOOKUP($C240,'FERDİ SONUÇ'!$B$6:$H$819,6,0)),"",VLOOKUP($C240,'FERDİ SONUÇ'!$B$6:$H$819,6,0))</f>
      </c>
      <c r="G240" s="122" t="str">
        <f>IF(OR(E240="",F240="DQ",F240="DNF",F240="DNS",F240=""),"-",VLOOKUP(C240,'FERDİ SONUÇ'!$B$6:$H$819,7,0))</f>
        <v>-</v>
      </c>
      <c r="H240" s="118"/>
    </row>
    <row r="241" spans="1:8" s="120" customFormat="1" ht="19.5" customHeight="1">
      <c r="A241" s="104"/>
      <c r="B241" s="105"/>
      <c r="C241" s="106">
        <f>IF(A243="","",INDEX('TAKIM KAYIT'!$C$6:$C$305,MATCH(C243,'TAKIM KAYIT'!$C$6:$C$305,0)-2))</f>
      </c>
      <c r="D241" s="119">
        <f>IF(ISERROR(VLOOKUP($C241,'START LİSTE'!$B$6:$G$1006,2,0)),"",VLOOKUP($C241,'START LİSTE'!$B$6:$G$1006,2,0))</f>
      </c>
      <c r="E241" s="108">
        <f>IF(ISERROR(VLOOKUP($C241,'START LİSTE'!$B$6:$G$1006,4,0)),"",VLOOKUP($C241,'START LİSTE'!$B$6:$G$1006,4,0))</f>
      </c>
      <c r="F241" s="124">
        <f>IF(ISERROR(VLOOKUP($C241,'FERDİ SONUÇ'!$B$6:$H$819,6,0)),"",VLOOKUP($C241,'FERDİ SONUÇ'!$B$6:$H$819,6,0))</f>
      </c>
      <c r="G241" s="121" t="str">
        <f>IF(OR(E241="",F241="DQ",F241="DNF",F241="DNS",F241=""),"-",VLOOKUP(C241,'FERDİ SONUÇ'!$B$6:$H$819,7,0))</f>
        <v>-</v>
      </c>
      <c r="H241" s="110"/>
    </row>
    <row r="242" spans="1:8" s="120" customFormat="1" ht="19.5" customHeight="1">
      <c r="A242" s="112"/>
      <c r="B242" s="113"/>
      <c r="C242" s="114">
        <f>IF(A243="","",INDEX('TAKIM KAYIT'!$C$6:$C$305,MATCH(C243,'TAKIM KAYIT'!$C$6:$C$305,0)-1))</f>
      </c>
      <c r="D242" s="115">
        <f>IF(ISERROR(VLOOKUP($C242,'START LİSTE'!$B$6:$G$1006,2,0)),"",VLOOKUP($C242,'START LİSTE'!$B$6:$G$1006,2,0))</f>
      </c>
      <c r="E242" s="116">
        <f>IF(ISERROR(VLOOKUP($C242,'START LİSTE'!$B$6:$G$1006,4,0)),"",VLOOKUP($C242,'START LİSTE'!$B$6:$G$1006,4,0))</f>
      </c>
      <c r="F242" s="125">
        <f>IF(ISERROR(VLOOKUP($C242,'FERDİ SONUÇ'!$B$6:$H$819,6,0)),"",VLOOKUP($C242,'FERDİ SONUÇ'!$B$6:$H$819,6,0))</f>
      </c>
      <c r="G242" s="122" t="str">
        <f>IF(OR(E242="",F242="DQ",F242="DNF",F242="DNS",F242=""),"-",VLOOKUP(C242,'FERDİ SONUÇ'!$B$6:$H$819,7,0))</f>
        <v>-</v>
      </c>
      <c r="H242" s="118"/>
    </row>
    <row r="243" spans="1:8" s="120" customFormat="1" ht="19.5" customHeight="1">
      <c r="A243" s="112">
        <f>IF(ISERROR(SMALL('TAKIM KAYIT'!$A$6:$A$305,48)),"",SMALL('TAKIM KAYIT'!$A$6:$A$305,48))</f>
      </c>
      <c r="B243" s="113">
        <f>IF(A243="","",VLOOKUP(A243,'TAKIM KAYIT'!$A$6:$J$305,2,FALSE))</f>
      </c>
      <c r="C243" s="114">
        <f>IF(A243="","",VLOOKUP(A243,'TAKIM KAYIT'!$A$6:$J$305,3,FALSE))</f>
      </c>
      <c r="D243" s="115">
        <f>IF(ISERROR(VLOOKUP($C243,'START LİSTE'!$B$6:$G$1006,2,0)),"",VLOOKUP($C243,'START LİSTE'!$B$6:$G$1006,2,0))</f>
      </c>
      <c r="E243" s="116">
        <f>IF(ISERROR(VLOOKUP($C243,'START LİSTE'!$B$6:$G$1006,4,0)),"",VLOOKUP($C243,'START LİSTE'!$B$6:$G$1006,4,0))</f>
      </c>
      <c r="F243" s="125">
        <f>IF(ISERROR(VLOOKUP($C243,'FERDİ SONUÇ'!$B$6:$H$819,6,0)),"",VLOOKUP($C243,'FERDİ SONUÇ'!$B$6:$H$819,6,0))</f>
      </c>
      <c r="G243" s="122" t="str">
        <f>IF(OR(E243="",F243="DQ",F243="DNF",F243="DNS",F243=""),"-",VLOOKUP(C243,'FERDİ SONUÇ'!$B$6:$H$819,7,0))</f>
        <v>-</v>
      </c>
      <c r="H243" s="118">
        <f>IF(A243="","",VLOOKUP(A243,'TAKIM KAYIT'!$A$6:$K$305,10,FALSE))</f>
      </c>
    </row>
    <row r="244" spans="1:8" s="120" customFormat="1" ht="19.5" customHeight="1">
      <c r="A244" s="112"/>
      <c r="B244" s="113"/>
      <c r="C244" s="114">
        <f>IF(A243="","",INDEX('TAKIM KAYIT'!$C$6:$C$305,MATCH(C243,'TAKIM KAYIT'!$C$6:$C$305,0)+1))</f>
      </c>
      <c r="D244" s="115">
        <f>IF(ISERROR(VLOOKUP($C244,'START LİSTE'!$B$6:$G$1006,2,0)),"",VLOOKUP($C244,'START LİSTE'!$B$6:$G$1006,2,0))</f>
      </c>
      <c r="E244" s="116">
        <f>IF(ISERROR(VLOOKUP($C244,'START LİSTE'!$B$6:$G$1006,4,0)),"",VLOOKUP($C244,'START LİSTE'!$B$6:$G$1006,4,0))</f>
      </c>
      <c r="F244" s="125">
        <f>IF(ISERROR(VLOOKUP($C244,'FERDİ SONUÇ'!$B$6:$H$819,6,0)),"",VLOOKUP($C244,'FERDİ SONUÇ'!$B$6:$H$819,6,0))</f>
      </c>
      <c r="G244" s="122" t="str">
        <f>IF(OR(E244="",F244="DQ",F244="DNF",F244="DNS",F244=""),"-",VLOOKUP(C244,'FERDİ SONUÇ'!$B$6:$H$819,7,0))</f>
        <v>-</v>
      </c>
      <c r="H244" s="118"/>
    </row>
    <row r="245" spans="1:8" s="120" customFormat="1" ht="19.5" customHeight="1">
      <c r="A245" s="112"/>
      <c r="B245" s="113"/>
      <c r="C245" s="114">
        <f>IF(A243="","",INDEX('TAKIM KAYIT'!$C$6:$C$305,MATCH(C243,'TAKIM KAYIT'!$C$6:$C$305,0)+2))</f>
      </c>
      <c r="D245" s="115">
        <f>IF(ISERROR(VLOOKUP($C245,'START LİSTE'!$B$6:$G$1006,2,0)),"",VLOOKUP($C245,'START LİSTE'!$B$6:$G$1006,2,0))</f>
      </c>
      <c r="E245" s="116">
        <f>IF(ISERROR(VLOOKUP($C245,'START LİSTE'!$B$6:$G$1006,4,0)),"",VLOOKUP($C245,'START LİSTE'!$B$6:$G$1006,4,0))</f>
      </c>
      <c r="F245" s="125">
        <f>IF(ISERROR(VLOOKUP($C245,'FERDİ SONUÇ'!$B$6:$H$819,6,0)),"",VLOOKUP($C245,'FERDİ SONUÇ'!$B$6:$H$819,6,0))</f>
      </c>
      <c r="G245" s="122" t="str">
        <f>IF(OR(E245="",F245="DQ",F245="DNF",F245="DNS",F245=""),"-",VLOOKUP(C245,'FERDİ SONUÇ'!$B$6:$H$819,7,0))</f>
        <v>-</v>
      </c>
      <c r="H245" s="118"/>
    </row>
    <row r="246" spans="1:8" s="120" customFormat="1" ht="19.5" customHeight="1">
      <c r="A246" s="104"/>
      <c r="B246" s="105"/>
      <c r="C246" s="106">
        <f>IF(A248="","",INDEX('TAKIM KAYIT'!$C$6:$C$305,MATCH(C248,'TAKIM KAYIT'!$C$6:$C$305,0)-2))</f>
      </c>
      <c r="D246" s="119">
        <f>IF(ISERROR(VLOOKUP($C246,'START LİSTE'!$B$6:$G$1006,2,0)),"",VLOOKUP($C246,'START LİSTE'!$B$6:$G$1006,2,0))</f>
      </c>
      <c r="E246" s="108">
        <f>IF(ISERROR(VLOOKUP($C246,'START LİSTE'!$B$6:$G$1006,4,0)),"",VLOOKUP($C246,'START LİSTE'!$B$6:$G$1006,4,0))</f>
      </c>
      <c r="F246" s="124">
        <f>IF(ISERROR(VLOOKUP($C246,'FERDİ SONUÇ'!$B$6:$H$819,6,0)),"",VLOOKUP($C246,'FERDİ SONUÇ'!$B$6:$H$819,6,0))</f>
      </c>
      <c r="G246" s="121" t="str">
        <f>IF(OR(E246="",F246="DQ",F246="DNF",F246="DNS",F246=""),"-",VLOOKUP(C246,'FERDİ SONUÇ'!$B$6:$H$819,7,0))</f>
        <v>-</v>
      </c>
      <c r="H246" s="110"/>
    </row>
    <row r="247" spans="1:8" s="120" customFormat="1" ht="19.5" customHeight="1">
      <c r="A247" s="112"/>
      <c r="B247" s="113"/>
      <c r="C247" s="114">
        <f>IF(A248="","",INDEX('TAKIM KAYIT'!$C$6:$C$305,MATCH(C248,'TAKIM KAYIT'!$C$6:$C$305,0)-1))</f>
      </c>
      <c r="D247" s="115">
        <f>IF(ISERROR(VLOOKUP($C247,'START LİSTE'!$B$6:$G$1006,2,0)),"",VLOOKUP($C247,'START LİSTE'!$B$6:$G$1006,2,0))</f>
      </c>
      <c r="E247" s="116">
        <f>IF(ISERROR(VLOOKUP($C247,'START LİSTE'!$B$6:$G$1006,4,0)),"",VLOOKUP($C247,'START LİSTE'!$B$6:$G$1006,4,0))</f>
      </c>
      <c r="F247" s="125">
        <f>IF(ISERROR(VLOOKUP($C247,'FERDİ SONUÇ'!$B$6:$H$819,6,0)),"",VLOOKUP($C247,'FERDİ SONUÇ'!$B$6:$H$819,6,0))</f>
      </c>
      <c r="G247" s="122" t="str">
        <f>IF(OR(E247="",F247="DQ",F247="DNF",F247="DNS",F247=""),"-",VLOOKUP(C247,'FERDİ SONUÇ'!$B$6:$H$819,7,0))</f>
        <v>-</v>
      </c>
      <c r="H247" s="118"/>
    </row>
    <row r="248" spans="1:8" s="120" customFormat="1" ht="19.5" customHeight="1">
      <c r="A248" s="112">
        <f>IF(ISERROR(SMALL('TAKIM KAYIT'!$A$6:$A$305,49)),"",SMALL('TAKIM KAYIT'!$A$6:$A$305,49))</f>
      </c>
      <c r="B248" s="113">
        <f>IF(A248="","",VLOOKUP(A248,'TAKIM KAYIT'!$A$6:$J$305,2,FALSE))</f>
      </c>
      <c r="C248" s="114">
        <f>IF(A248="","",VLOOKUP(A248,'TAKIM KAYIT'!$A$6:$J$305,3,FALSE))</f>
      </c>
      <c r="D248" s="115">
        <f>IF(ISERROR(VLOOKUP($C248,'START LİSTE'!$B$6:$G$1006,2,0)),"",VLOOKUP($C248,'START LİSTE'!$B$6:$G$1006,2,0))</f>
      </c>
      <c r="E248" s="116">
        <f>IF(ISERROR(VLOOKUP($C248,'START LİSTE'!$B$6:$G$1006,4,0)),"",VLOOKUP($C248,'START LİSTE'!$B$6:$G$1006,4,0))</f>
      </c>
      <c r="F248" s="125">
        <f>IF(ISERROR(VLOOKUP($C248,'FERDİ SONUÇ'!$B$6:$H$819,6,0)),"",VLOOKUP($C248,'FERDİ SONUÇ'!$B$6:$H$819,6,0))</f>
      </c>
      <c r="G248" s="122" t="str">
        <f>IF(OR(E248="",F248="DQ",F248="DNF",F248="DNS",F248=""),"-",VLOOKUP(C248,'FERDİ SONUÇ'!$B$6:$H$819,7,0))</f>
        <v>-</v>
      </c>
      <c r="H248" s="118">
        <f>IF(A248="","",VLOOKUP(A248,'TAKIM KAYIT'!$A$6:$K$305,10,FALSE))</f>
      </c>
    </row>
    <row r="249" spans="1:8" s="120" customFormat="1" ht="19.5" customHeight="1">
      <c r="A249" s="112"/>
      <c r="B249" s="113"/>
      <c r="C249" s="114">
        <f>IF(A248="","",INDEX('TAKIM KAYIT'!$C$6:$C$305,MATCH(C248,'TAKIM KAYIT'!$C$6:$C$305,0)+1))</f>
      </c>
      <c r="D249" s="115">
        <f>IF(ISERROR(VLOOKUP($C249,'START LİSTE'!$B$6:$G$1006,2,0)),"",VLOOKUP($C249,'START LİSTE'!$B$6:$G$1006,2,0))</f>
      </c>
      <c r="E249" s="116">
        <f>IF(ISERROR(VLOOKUP($C249,'START LİSTE'!$B$6:$G$1006,4,0)),"",VLOOKUP($C249,'START LİSTE'!$B$6:$G$1006,4,0))</f>
      </c>
      <c r="F249" s="125">
        <f>IF(ISERROR(VLOOKUP($C249,'FERDİ SONUÇ'!$B$6:$H$819,6,0)),"",VLOOKUP($C249,'FERDİ SONUÇ'!$B$6:$H$819,6,0))</f>
      </c>
      <c r="G249" s="122" t="str">
        <f>IF(OR(E249="",F249="DQ",F249="DNF",F249="DNS",F249=""),"-",VLOOKUP(C249,'FERDİ SONUÇ'!$B$6:$H$819,7,0))</f>
        <v>-</v>
      </c>
      <c r="H249" s="118"/>
    </row>
    <row r="250" spans="1:8" s="120" customFormat="1" ht="19.5" customHeight="1">
      <c r="A250" s="112"/>
      <c r="B250" s="113"/>
      <c r="C250" s="114">
        <f>IF(A248="","",INDEX('TAKIM KAYIT'!$C$6:$C$305,MATCH(C248,'TAKIM KAYIT'!$C$6:$C$305,0)+2))</f>
      </c>
      <c r="D250" s="115">
        <f>IF(ISERROR(VLOOKUP($C250,'START LİSTE'!$B$6:$G$1006,2,0)),"",VLOOKUP($C250,'START LİSTE'!$B$6:$G$1006,2,0))</f>
      </c>
      <c r="E250" s="116">
        <f>IF(ISERROR(VLOOKUP($C250,'START LİSTE'!$B$6:$G$1006,4,0)),"",VLOOKUP($C250,'START LİSTE'!$B$6:$G$1006,4,0))</f>
      </c>
      <c r="F250" s="125">
        <f>IF(ISERROR(VLOOKUP($C250,'FERDİ SONUÇ'!$B$6:$H$819,6,0)),"",VLOOKUP($C250,'FERDİ SONUÇ'!$B$6:$H$819,6,0))</f>
      </c>
      <c r="G250" s="122" t="str">
        <f>IF(OR(E250="",F250="DQ",F250="DNF",F250="DNS",F250=""),"-",VLOOKUP(C250,'FERDİ SONUÇ'!$B$6:$H$819,7,0))</f>
        <v>-</v>
      </c>
      <c r="H250" s="118"/>
    </row>
    <row r="251" spans="1:8" s="120" customFormat="1" ht="19.5" customHeight="1">
      <c r="A251" s="104"/>
      <c r="B251" s="105"/>
      <c r="C251" s="106">
        <f>IF(A253="","",INDEX('TAKIM KAYIT'!$C$6:$C$305,MATCH(C253,'TAKIM KAYIT'!$C$6:$C$305,0)-2))</f>
      </c>
      <c r="D251" s="119">
        <f>IF(ISERROR(VLOOKUP($C251,'START LİSTE'!$B$6:$G$1006,2,0)),"",VLOOKUP($C251,'START LİSTE'!$B$6:$G$1006,2,0))</f>
      </c>
      <c r="E251" s="108">
        <f>IF(ISERROR(VLOOKUP($C251,'START LİSTE'!$B$6:$G$1006,4,0)),"",VLOOKUP($C251,'START LİSTE'!$B$6:$G$1006,4,0))</f>
      </c>
      <c r="F251" s="124">
        <f>IF(ISERROR(VLOOKUP($C251,'FERDİ SONUÇ'!$B$6:$H$819,6,0)),"",VLOOKUP($C251,'FERDİ SONUÇ'!$B$6:$H$819,6,0))</f>
      </c>
      <c r="G251" s="121" t="str">
        <f>IF(OR(E251="",F251="DQ",F251="DNF",F251="DNS",F251=""),"-",VLOOKUP(C251,'FERDİ SONUÇ'!$B$6:$H$819,7,0))</f>
        <v>-</v>
      </c>
      <c r="H251" s="110"/>
    </row>
    <row r="252" spans="1:8" s="120" customFormat="1" ht="19.5" customHeight="1">
      <c r="A252" s="112"/>
      <c r="B252" s="113"/>
      <c r="C252" s="114">
        <f>IF(A253="","",INDEX('TAKIM KAYIT'!$C$6:$C$305,MATCH(C253,'TAKIM KAYIT'!$C$6:$C$305,0)-1))</f>
      </c>
      <c r="D252" s="115">
        <f>IF(ISERROR(VLOOKUP($C252,'START LİSTE'!$B$6:$G$1006,2,0)),"",VLOOKUP($C252,'START LİSTE'!$B$6:$G$1006,2,0))</f>
      </c>
      <c r="E252" s="116">
        <f>IF(ISERROR(VLOOKUP($C252,'START LİSTE'!$B$6:$G$1006,4,0)),"",VLOOKUP($C252,'START LİSTE'!$B$6:$G$1006,4,0))</f>
      </c>
      <c r="F252" s="125">
        <f>IF(ISERROR(VLOOKUP($C252,'FERDİ SONUÇ'!$B$6:$H$819,6,0)),"",VLOOKUP($C252,'FERDİ SONUÇ'!$B$6:$H$819,6,0))</f>
      </c>
      <c r="G252" s="122" t="str">
        <f>IF(OR(E252="",F252="DQ",F252="DNF",F252="DNS",F252=""),"-",VLOOKUP(C252,'FERDİ SONUÇ'!$B$6:$H$819,7,0))</f>
        <v>-</v>
      </c>
      <c r="H252" s="118"/>
    </row>
    <row r="253" spans="1:8" s="120" customFormat="1" ht="19.5" customHeight="1">
      <c r="A253" s="112">
        <f>IF(ISERROR(SMALL('TAKIM KAYIT'!$A$6:$A$305,50)),"",SMALL('TAKIM KAYIT'!$A$6:$A$305,50))</f>
      </c>
      <c r="B253" s="113">
        <f>IF(A253="","",VLOOKUP(A253,'TAKIM KAYIT'!$A$6:$J$305,2,FALSE))</f>
      </c>
      <c r="C253" s="114">
        <f>IF(A253="","",VLOOKUP(A253,'TAKIM KAYIT'!$A$6:$J$305,3,FALSE))</f>
      </c>
      <c r="D253" s="115">
        <f>IF(ISERROR(VLOOKUP($C253,'START LİSTE'!$B$6:$G$1006,2,0)),"",VLOOKUP($C253,'START LİSTE'!$B$6:$G$1006,2,0))</f>
      </c>
      <c r="E253" s="116">
        <f>IF(ISERROR(VLOOKUP($C253,'START LİSTE'!$B$6:$G$1006,4,0)),"",VLOOKUP($C253,'START LİSTE'!$B$6:$G$1006,4,0))</f>
      </c>
      <c r="F253" s="125">
        <f>IF(ISERROR(VLOOKUP($C253,'FERDİ SONUÇ'!$B$6:$H$819,6,0)),"",VLOOKUP($C253,'FERDİ SONUÇ'!$B$6:$H$819,6,0))</f>
      </c>
      <c r="G253" s="122" t="str">
        <f>IF(OR(E253="",F253="DQ",F253="DNF",F253="DNS",F253=""),"-",VLOOKUP(C253,'FERDİ SONUÇ'!$B$6:$H$819,7,0))</f>
        <v>-</v>
      </c>
      <c r="H253" s="118">
        <f>IF(A253="","",VLOOKUP(A253,'TAKIM KAYIT'!$A$6:$K$305,10,FALSE))</f>
      </c>
    </row>
    <row r="254" spans="1:8" s="120" customFormat="1" ht="19.5" customHeight="1">
      <c r="A254" s="112"/>
      <c r="B254" s="113"/>
      <c r="C254" s="114">
        <f>IF(A253="","",INDEX('TAKIM KAYIT'!$C$6:$C$305,MATCH(C253,'TAKIM KAYIT'!$C$6:$C$305,0)+1))</f>
      </c>
      <c r="D254" s="115">
        <f>IF(ISERROR(VLOOKUP($C254,'START LİSTE'!$B$6:$G$1006,2,0)),"",VLOOKUP($C254,'START LİSTE'!$B$6:$G$1006,2,0))</f>
      </c>
      <c r="E254" s="116">
        <f>IF(ISERROR(VLOOKUP($C254,'START LİSTE'!$B$6:$G$1006,4,0)),"",VLOOKUP($C254,'START LİSTE'!$B$6:$G$1006,4,0))</f>
      </c>
      <c r="F254" s="125">
        <f>IF(ISERROR(VLOOKUP($C254,'FERDİ SONUÇ'!$B$6:$H$819,6,0)),"",VLOOKUP($C254,'FERDİ SONUÇ'!$B$6:$H$819,6,0))</f>
      </c>
      <c r="G254" s="122" t="str">
        <f>IF(OR(E254="",F254="DQ",F254="DNF",F254="DNS",F254=""),"-",VLOOKUP(C254,'FERDİ SONUÇ'!$B$6:$H$819,7,0))</f>
        <v>-</v>
      </c>
      <c r="H254" s="118"/>
    </row>
    <row r="255" spans="1:8" s="120" customFormat="1" ht="19.5" customHeight="1">
      <c r="A255" s="112"/>
      <c r="B255" s="113"/>
      <c r="C255" s="114">
        <f>IF(A253="","",INDEX('TAKIM KAYIT'!$C$6:$C$305,MATCH(C253,'TAKIM KAYIT'!$C$6:$C$305,0)+2))</f>
      </c>
      <c r="D255" s="115">
        <f>IF(ISERROR(VLOOKUP($C255,'START LİSTE'!$B$6:$G$1006,2,0)),"",VLOOKUP($C255,'START LİSTE'!$B$6:$G$1006,2,0))</f>
      </c>
      <c r="E255" s="116">
        <f>IF(ISERROR(VLOOKUP($C255,'START LİSTE'!$B$6:$G$1006,4,0)),"",VLOOKUP($C255,'START LİSTE'!$B$6:$G$1006,4,0))</f>
      </c>
      <c r="F255" s="125">
        <f>IF(ISERROR(VLOOKUP($C255,'FERDİ SONUÇ'!$B$6:$H$819,6,0)),"",VLOOKUP($C255,'FERDİ SONUÇ'!$B$6:$H$819,6,0))</f>
      </c>
      <c r="G255" s="122" t="str">
        <f>IF(OR(E255="",F255="DQ",F255="DNF",F255="DNS",F255=""),"-",VLOOKUP(C255,'FERDİ SONUÇ'!$B$6:$H$819,7,0))</f>
        <v>-</v>
      </c>
      <c r="H255" s="118"/>
    </row>
    <row r="256" spans="1:8" s="120" customFormat="1" ht="19.5" customHeight="1">
      <c r="A256" s="104"/>
      <c r="B256" s="105"/>
      <c r="C256" s="106">
        <f>IF(A258="","",INDEX('TAKIM KAYIT'!$C$6:$C$305,MATCH(C258,'TAKIM KAYIT'!$C$6:$C$305,0)-2))</f>
      </c>
      <c r="D256" s="119">
        <f>IF(ISERROR(VLOOKUP($C256,'START LİSTE'!$B$6:$G$1006,2,0)),"",VLOOKUP($C256,'START LİSTE'!$B$6:$G$1006,2,0))</f>
      </c>
      <c r="E256" s="108">
        <f>IF(ISERROR(VLOOKUP($C256,'START LİSTE'!$B$6:$G$1006,4,0)),"",VLOOKUP($C256,'START LİSTE'!$B$6:$G$1006,4,0))</f>
      </c>
      <c r="F256" s="124">
        <f>IF(ISERROR(VLOOKUP($C256,'FERDİ SONUÇ'!$B$6:$H$819,6,0)),"",VLOOKUP($C256,'FERDİ SONUÇ'!$B$6:$H$819,6,0))</f>
      </c>
      <c r="G256" s="121" t="str">
        <f>IF(OR(E256="",F256="DQ",F256="DNF",F256="DNS",F256=""),"-",VLOOKUP(C256,'FERDİ SONUÇ'!$B$6:$H$819,7,0))</f>
        <v>-</v>
      </c>
      <c r="H256" s="110"/>
    </row>
    <row r="257" spans="1:8" s="120" customFormat="1" ht="19.5" customHeight="1">
      <c r="A257" s="112"/>
      <c r="B257" s="113"/>
      <c r="C257" s="114">
        <f>IF(A258="","",INDEX('TAKIM KAYIT'!$C$6:$C$305,MATCH(C258,'TAKIM KAYIT'!$C$6:$C$305,0)-1))</f>
      </c>
      <c r="D257" s="115">
        <f>IF(ISERROR(VLOOKUP($C257,'START LİSTE'!$B$6:$G$1006,2,0)),"",VLOOKUP($C257,'START LİSTE'!$B$6:$G$1006,2,0))</f>
      </c>
      <c r="E257" s="116">
        <f>IF(ISERROR(VLOOKUP($C257,'START LİSTE'!$B$6:$G$1006,4,0)),"",VLOOKUP($C257,'START LİSTE'!$B$6:$G$1006,4,0))</f>
      </c>
      <c r="F257" s="125">
        <f>IF(ISERROR(VLOOKUP($C257,'FERDİ SONUÇ'!$B$6:$H$819,6,0)),"",VLOOKUP($C257,'FERDİ SONUÇ'!$B$6:$H$819,6,0))</f>
      </c>
      <c r="G257" s="122" t="str">
        <f>IF(OR(E257="",F257="DQ",F257="DNF",F257="DNS",F257=""),"-",VLOOKUP(C257,'FERDİ SONUÇ'!$B$6:$H$819,7,0))</f>
        <v>-</v>
      </c>
      <c r="H257" s="118"/>
    </row>
    <row r="258" spans="1:8" s="120" customFormat="1" ht="19.5" customHeight="1">
      <c r="A258" s="112">
        <f>IF(ISERROR(SMALL('TAKIM KAYIT'!$A$6:$A$305,51)),"",SMALL('TAKIM KAYIT'!$A$6:$A$305,51))</f>
      </c>
      <c r="B258" s="113">
        <f>IF(A258="","",VLOOKUP(A258,'TAKIM KAYIT'!$A$6:$J$305,2,FALSE))</f>
      </c>
      <c r="C258" s="114">
        <f>IF(A258="","",VLOOKUP(A258,'TAKIM KAYIT'!$A$6:$J$305,3,FALSE))</f>
      </c>
      <c r="D258" s="115">
        <f>IF(ISERROR(VLOOKUP($C258,'START LİSTE'!$B$6:$G$1006,2,0)),"",VLOOKUP($C258,'START LİSTE'!$B$6:$G$1006,2,0))</f>
      </c>
      <c r="E258" s="116">
        <f>IF(ISERROR(VLOOKUP($C258,'START LİSTE'!$B$6:$G$1006,4,0)),"",VLOOKUP($C258,'START LİSTE'!$B$6:$G$1006,4,0))</f>
      </c>
      <c r="F258" s="125">
        <f>IF(ISERROR(VLOOKUP($C258,'FERDİ SONUÇ'!$B$6:$H$819,6,0)),"",VLOOKUP($C258,'FERDİ SONUÇ'!$B$6:$H$819,6,0))</f>
      </c>
      <c r="G258" s="122" t="str">
        <f>IF(OR(E258="",F258="DQ",F258="DNF",F258="DNS",F258=""),"-",VLOOKUP(C258,'FERDİ SONUÇ'!$B$6:$H$819,7,0))</f>
        <v>-</v>
      </c>
      <c r="H258" s="118">
        <f>IF(A258="","",VLOOKUP(A258,'TAKIM KAYIT'!$A$6:$K$305,10,FALSE))</f>
      </c>
    </row>
    <row r="259" spans="1:8" s="120" customFormat="1" ht="19.5" customHeight="1">
      <c r="A259" s="112"/>
      <c r="B259" s="113"/>
      <c r="C259" s="114">
        <f>IF(A258="","",INDEX('TAKIM KAYIT'!$C$6:$C$305,MATCH(C258,'TAKIM KAYIT'!$C$6:$C$305,0)+1))</f>
      </c>
      <c r="D259" s="115">
        <f>IF(ISERROR(VLOOKUP($C259,'START LİSTE'!$B$6:$G$1006,2,0)),"",VLOOKUP($C259,'START LİSTE'!$B$6:$G$1006,2,0))</f>
      </c>
      <c r="E259" s="116">
        <f>IF(ISERROR(VLOOKUP($C259,'START LİSTE'!$B$6:$G$1006,4,0)),"",VLOOKUP($C259,'START LİSTE'!$B$6:$G$1006,4,0))</f>
      </c>
      <c r="F259" s="125">
        <f>IF(ISERROR(VLOOKUP($C259,'FERDİ SONUÇ'!$B$6:$H$819,6,0)),"",VLOOKUP($C259,'FERDİ SONUÇ'!$B$6:$H$819,6,0))</f>
      </c>
      <c r="G259" s="122" t="str">
        <f>IF(OR(E259="",F259="DQ",F259="DNF",F259="DNS",F259=""),"-",VLOOKUP(C259,'FERDİ SONUÇ'!$B$6:$H$819,7,0))</f>
        <v>-</v>
      </c>
      <c r="H259" s="118"/>
    </row>
    <row r="260" spans="1:8" s="120" customFormat="1" ht="19.5" customHeight="1">
      <c r="A260" s="112"/>
      <c r="B260" s="113"/>
      <c r="C260" s="114">
        <f>IF(A258="","",INDEX('TAKIM KAYIT'!$C$6:$C$305,MATCH(C258,'TAKIM KAYIT'!$C$6:$C$305,0)+2))</f>
      </c>
      <c r="D260" s="115">
        <f>IF(ISERROR(VLOOKUP($C260,'START LİSTE'!$B$6:$G$1006,2,0)),"",VLOOKUP($C260,'START LİSTE'!$B$6:$G$1006,2,0))</f>
      </c>
      <c r="E260" s="116">
        <f>IF(ISERROR(VLOOKUP($C260,'START LİSTE'!$B$6:$G$1006,4,0)),"",VLOOKUP($C260,'START LİSTE'!$B$6:$G$1006,4,0))</f>
      </c>
      <c r="F260" s="125">
        <f>IF(ISERROR(VLOOKUP($C260,'FERDİ SONUÇ'!$B$6:$H$819,6,0)),"",VLOOKUP($C260,'FERDİ SONUÇ'!$B$6:$H$819,6,0))</f>
      </c>
      <c r="G260" s="122" t="str">
        <f>IF(OR(E260="",F260="DQ",F260="DNF",F260="DNS",F260=""),"-",VLOOKUP(C260,'FERDİ SONUÇ'!$B$6:$H$819,7,0))</f>
        <v>-</v>
      </c>
      <c r="H260" s="118"/>
    </row>
    <row r="261" spans="1:8" s="120" customFormat="1" ht="19.5" customHeight="1">
      <c r="A261" s="104"/>
      <c r="B261" s="105"/>
      <c r="C261" s="106">
        <f>IF(A263="","",INDEX('TAKIM KAYIT'!$C$6:$C$305,MATCH(C263,'TAKIM KAYIT'!$C$6:$C$305,0)-2))</f>
      </c>
      <c r="D261" s="119">
        <f>IF(ISERROR(VLOOKUP($C261,'START LİSTE'!$B$6:$G$1006,2,0)),"",VLOOKUP($C261,'START LİSTE'!$B$6:$G$1006,2,0))</f>
      </c>
      <c r="E261" s="108">
        <f>IF(ISERROR(VLOOKUP($C261,'START LİSTE'!$B$6:$G$1006,4,0)),"",VLOOKUP($C261,'START LİSTE'!$B$6:$G$1006,4,0))</f>
      </c>
      <c r="F261" s="124">
        <f>IF(ISERROR(VLOOKUP($C261,'FERDİ SONUÇ'!$B$6:$H$819,6,0)),"",VLOOKUP($C261,'FERDİ SONUÇ'!$B$6:$H$819,6,0))</f>
      </c>
      <c r="G261" s="121" t="str">
        <f>IF(OR(E261="",F261="DQ",F261="DNF",F261="DNS",F261=""),"-",VLOOKUP(C261,'FERDİ SONUÇ'!$B$6:$H$819,7,0))</f>
        <v>-</v>
      </c>
      <c r="H261" s="110"/>
    </row>
    <row r="262" spans="1:8" s="120" customFormat="1" ht="19.5" customHeight="1">
      <c r="A262" s="112"/>
      <c r="B262" s="113"/>
      <c r="C262" s="114">
        <f>IF(A263="","",INDEX('TAKIM KAYIT'!$C$6:$C$305,MATCH(C263,'TAKIM KAYIT'!$C$6:$C$305,0)-1))</f>
      </c>
      <c r="D262" s="115">
        <f>IF(ISERROR(VLOOKUP($C262,'START LİSTE'!$B$6:$G$1006,2,0)),"",VLOOKUP($C262,'START LİSTE'!$B$6:$G$1006,2,0))</f>
      </c>
      <c r="E262" s="116">
        <f>IF(ISERROR(VLOOKUP($C262,'START LİSTE'!$B$6:$G$1006,4,0)),"",VLOOKUP($C262,'START LİSTE'!$B$6:$G$1006,4,0))</f>
      </c>
      <c r="F262" s="125">
        <f>IF(ISERROR(VLOOKUP($C262,'FERDİ SONUÇ'!$B$6:$H$819,6,0)),"",VLOOKUP($C262,'FERDİ SONUÇ'!$B$6:$H$819,6,0))</f>
      </c>
      <c r="G262" s="122" t="str">
        <f>IF(OR(E262="",F262="DQ",F262="DNF",F262="DNS",F262=""),"-",VLOOKUP(C262,'FERDİ SONUÇ'!$B$6:$H$819,7,0))</f>
        <v>-</v>
      </c>
      <c r="H262" s="118"/>
    </row>
    <row r="263" spans="1:8" s="120" customFormat="1" ht="19.5" customHeight="1">
      <c r="A263" s="112">
        <f>IF(ISERROR(SMALL('TAKIM KAYIT'!$A$6:$A$305,52)),"",SMALL('TAKIM KAYIT'!$A$6:$A$305,52))</f>
      </c>
      <c r="B263" s="113">
        <f>IF(A263="","",VLOOKUP(A263,'TAKIM KAYIT'!$A$6:$J$305,2,FALSE))</f>
      </c>
      <c r="C263" s="114">
        <f>IF(A263="","",VLOOKUP(A263,'TAKIM KAYIT'!$A$6:$J$305,3,FALSE))</f>
      </c>
      <c r="D263" s="115">
        <f>IF(ISERROR(VLOOKUP($C263,'START LİSTE'!$B$6:$G$1006,2,0)),"",VLOOKUP($C263,'START LİSTE'!$B$6:$G$1006,2,0))</f>
      </c>
      <c r="E263" s="116">
        <f>IF(ISERROR(VLOOKUP($C263,'START LİSTE'!$B$6:$G$1006,4,0)),"",VLOOKUP($C263,'START LİSTE'!$B$6:$G$1006,4,0))</f>
      </c>
      <c r="F263" s="125">
        <f>IF(ISERROR(VLOOKUP($C263,'FERDİ SONUÇ'!$B$6:$H$819,6,0)),"",VLOOKUP($C263,'FERDİ SONUÇ'!$B$6:$H$819,6,0))</f>
      </c>
      <c r="G263" s="122" t="str">
        <f>IF(OR(E263="",F263="DQ",F263="DNF",F263="DNS",F263=""),"-",VLOOKUP(C263,'FERDİ SONUÇ'!$B$6:$H$819,7,0))</f>
        <v>-</v>
      </c>
      <c r="H263" s="118">
        <f>IF(A263="","",VLOOKUP(A263,'TAKIM KAYIT'!$A$6:$K$305,10,FALSE))</f>
      </c>
    </row>
    <row r="264" spans="1:8" s="120" customFormat="1" ht="19.5" customHeight="1">
      <c r="A264" s="112"/>
      <c r="B264" s="113"/>
      <c r="C264" s="114">
        <f>IF(A263="","",INDEX('TAKIM KAYIT'!$C$6:$C$305,MATCH(C263,'TAKIM KAYIT'!$C$6:$C$305,0)+1))</f>
      </c>
      <c r="D264" s="115">
        <f>IF(ISERROR(VLOOKUP($C264,'START LİSTE'!$B$6:$G$1006,2,0)),"",VLOOKUP($C264,'START LİSTE'!$B$6:$G$1006,2,0))</f>
      </c>
      <c r="E264" s="116">
        <f>IF(ISERROR(VLOOKUP($C264,'START LİSTE'!$B$6:$G$1006,4,0)),"",VLOOKUP($C264,'START LİSTE'!$B$6:$G$1006,4,0))</f>
      </c>
      <c r="F264" s="125">
        <f>IF(ISERROR(VLOOKUP($C264,'FERDİ SONUÇ'!$B$6:$H$819,6,0)),"",VLOOKUP($C264,'FERDİ SONUÇ'!$B$6:$H$819,6,0))</f>
      </c>
      <c r="G264" s="122" t="str">
        <f>IF(OR(E264="",F264="DQ",F264="DNF",F264="DNS",F264=""),"-",VLOOKUP(C264,'FERDİ SONUÇ'!$B$6:$H$819,7,0))</f>
        <v>-</v>
      </c>
      <c r="H264" s="118"/>
    </row>
    <row r="265" spans="1:8" s="120" customFormat="1" ht="19.5" customHeight="1">
      <c r="A265" s="112"/>
      <c r="B265" s="113"/>
      <c r="C265" s="114">
        <f>IF(A263="","",INDEX('TAKIM KAYIT'!$C$6:$C$305,MATCH(C263,'TAKIM KAYIT'!$C$6:$C$305,0)+2))</f>
      </c>
      <c r="D265" s="115">
        <f>IF(ISERROR(VLOOKUP($C265,'START LİSTE'!$B$6:$G$1006,2,0)),"",VLOOKUP($C265,'START LİSTE'!$B$6:$G$1006,2,0))</f>
      </c>
      <c r="E265" s="116">
        <f>IF(ISERROR(VLOOKUP($C265,'START LİSTE'!$B$6:$G$1006,4,0)),"",VLOOKUP($C265,'START LİSTE'!$B$6:$G$1006,4,0))</f>
      </c>
      <c r="F265" s="125">
        <f>IF(ISERROR(VLOOKUP($C265,'FERDİ SONUÇ'!$B$6:$H$819,6,0)),"",VLOOKUP($C265,'FERDİ SONUÇ'!$B$6:$H$819,6,0))</f>
      </c>
      <c r="G265" s="122" t="str">
        <f>IF(OR(E265="",F265="DQ",F265="DNF",F265="DNS",F265=""),"-",VLOOKUP(C265,'FERDİ SONUÇ'!$B$6:$H$819,7,0))</f>
        <v>-</v>
      </c>
      <c r="H265" s="118"/>
    </row>
    <row r="266" spans="1:8" s="120" customFormat="1" ht="19.5" customHeight="1">
      <c r="A266" s="104"/>
      <c r="B266" s="105"/>
      <c r="C266" s="106">
        <f>IF(A268="","",INDEX('TAKIM KAYIT'!$C$6:$C$305,MATCH(C268,'TAKIM KAYIT'!$C$6:$C$305,0)-2))</f>
      </c>
      <c r="D266" s="119">
        <f>IF(ISERROR(VLOOKUP($C266,'START LİSTE'!$B$6:$G$1006,2,0)),"",VLOOKUP($C266,'START LİSTE'!$B$6:$G$1006,2,0))</f>
      </c>
      <c r="E266" s="108">
        <f>IF(ISERROR(VLOOKUP($C266,'START LİSTE'!$B$6:$G$1006,4,0)),"",VLOOKUP($C266,'START LİSTE'!$B$6:$G$1006,4,0))</f>
      </c>
      <c r="F266" s="124">
        <f>IF(ISERROR(VLOOKUP($C266,'FERDİ SONUÇ'!$B$6:$H$819,6,0)),"",VLOOKUP($C266,'FERDİ SONUÇ'!$B$6:$H$819,6,0))</f>
      </c>
      <c r="G266" s="121" t="str">
        <f>IF(OR(E266="",F266="DQ",F266="DNF",F266="DNS",F266=""),"-",VLOOKUP(C266,'FERDİ SONUÇ'!$B$6:$H$819,7,0))</f>
        <v>-</v>
      </c>
      <c r="H266" s="110"/>
    </row>
    <row r="267" spans="1:8" s="120" customFormat="1" ht="19.5" customHeight="1">
      <c r="A267" s="112"/>
      <c r="B267" s="113"/>
      <c r="C267" s="114">
        <f>IF(A268="","",INDEX('TAKIM KAYIT'!$C$6:$C$305,MATCH(C268,'TAKIM KAYIT'!$C$6:$C$305,0)-1))</f>
      </c>
      <c r="D267" s="115">
        <f>IF(ISERROR(VLOOKUP($C267,'START LİSTE'!$B$6:$G$1006,2,0)),"",VLOOKUP($C267,'START LİSTE'!$B$6:$G$1006,2,0))</f>
      </c>
      <c r="E267" s="116">
        <f>IF(ISERROR(VLOOKUP($C267,'START LİSTE'!$B$6:$G$1006,4,0)),"",VLOOKUP($C267,'START LİSTE'!$B$6:$G$1006,4,0))</f>
      </c>
      <c r="F267" s="125">
        <f>IF(ISERROR(VLOOKUP($C267,'FERDİ SONUÇ'!$B$6:$H$819,6,0)),"",VLOOKUP($C267,'FERDİ SONUÇ'!$B$6:$H$819,6,0))</f>
      </c>
      <c r="G267" s="122" t="str">
        <f>IF(OR(E267="",F267="DQ",F267="DNF",F267="DNS",F267=""),"-",VLOOKUP(C267,'FERDİ SONUÇ'!$B$6:$H$819,7,0))</f>
        <v>-</v>
      </c>
      <c r="H267" s="118"/>
    </row>
    <row r="268" spans="1:8" s="120" customFormat="1" ht="19.5" customHeight="1">
      <c r="A268" s="112">
        <f>IF(ISERROR(SMALL('TAKIM KAYIT'!$A$6:$A$305,53)),"",SMALL('TAKIM KAYIT'!$A$6:$A$305,53))</f>
      </c>
      <c r="B268" s="113">
        <f>IF(A268="","",VLOOKUP(A268,'TAKIM KAYIT'!$A$6:$J$305,2,FALSE))</f>
      </c>
      <c r="C268" s="114">
        <f>IF(A268="","",VLOOKUP(A268,'TAKIM KAYIT'!$A$6:$J$305,3,FALSE))</f>
      </c>
      <c r="D268" s="115">
        <f>IF(ISERROR(VLOOKUP($C268,'START LİSTE'!$B$6:$G$1006,2,0)),"",VLOOKUP($C268,'START LİSTE'!$B$6:$G$1006,2,0))</f>
      </c>
      <c r="E268" s="116">
        <f>IF(ISERROR(VLOOKUP($C268,'START LİSTE'!$B$6:$G$1006,4,0)),"",VLOOKUP($C268,'START LİSTE'!$B$6:$G$1006,4,0))</f>
      </c>
      <c r="F268" s="125">
        <f>IF(ISERROR(VLOOKUP($C268,'FERDİ SONUÇ'!$B$6:$H$819,6,0)),"",VLOOKUP($C268,'FERDİ SONUÇ'!$B$6:$H$819,6,0))</f>
      </c>
      <c r="G268" s="122" t="str">
        <f>IF(OR(E268="",F268="DQ",F268="DNF",F268="DNS",F268=""),"-",VLOOKUP(C268,'FERDİ SONUÇ'!$B$6:$H$819,7,0))</f>
        <v>-</v>
      </c>
      <c r="H268" s="118">
        <f>IF(A268="","",VLOOKUP(A268,'TAKIM KAYIT'!$A$6:$K$305,10,FALSE))</f>
      </c>
    </row>
    <row r="269" spans="1:8" s="120" customFormat="1" ht="19.5" customHeight="1">
      <c r="A269" s="112"/>
      <c r="B269" s="113"/>
      <c r="C269" s="114">
        <f>IF(A268="","",INDEX('TAKIM KAYIT'!$C$6:$C$305,MATCH(C268,'TAKIM KAYIT'!$C$6:$C$305,0)+1))</f>
      </c>
      <c r="D269" s="115">
        <f>IF(ISERROR(VLOOKUP($C269,'START LİSTE'!$B$6:$G$1006,2,0)),"",VLOOKUP($C269,'START LİSTE'!$B$6:$G$1006,2,0))</f>
      </c>
      <c r="E269" s="116">
        <f>IF(ISERROR(VLOOKUP($C269,'START LİSTE'!$B$6:$G$1006,4,0)),"",VLOOKUP($C269,'START LİSTE'!$B$6:$G$1006,4,0))</f>
      </c>
      <c r="F269" s="125">
        <f>IF(ISERROR(VLOOKUP($C269,'FERDİ SONUÇ'!$B$6:$H$819,6,0)),"",VLOOKUP($C269,'FERDİ SONUÇ'!$B$6:$H$819,6,0))</f>
      </c>
      <c r="G269" s="122" t="str">
        <f>IF(OR(E269="",F269="DQ",F269="DNF",F269="DNS",F269=""),"-",VLOOKUP(C269,'FERDİ SONUÇ'!$B$6:$H$819,7,0))</f>
        <v>-</v>
      </c>
      <c r="H269" s="118"/>
    </row>
    <row r="270" spans="1:8" s="120" customFormat="1" ht="19.5" customHeight="1">
      <c r="A270" s="112"/>
      <c r="B270" s="113"/>
      <c r="C270" s="114">
        <f>IF(A268="","",INDEX('TAKIM KAYIT'!$C$6:$C$305,MATCH(C268,'TAKIM KAYIT'!$C$6:$C$305,0)+2))</f>
      </c>
      <c r="D270" s="115">
        <f>IF(ISERROR(VLOOKUP($C270,'START LİSTE'!$B$6:$G$1006,2,0)),"",VLOOKUP($C270,'START LİSTE'!$B$6:$G$1006,2,0))</f>
      </c>
      <c r="E270" s="116">
        <f>IF(ISERROR(VLOOKUP($C270,'START LİSTE'!$B$6:$G$1006,4,0)),"",VLOOKUP($C270,'START LİSTE'!$B$6:$G$1006,4,0))</f>
      </c>
      <c r="F270" s="125">
        <f>IF(ISERROR(VLOOKUP($C270,'FERDİ SONUÇ'!$B$6:$H$819,6,0)),"",VLOOKUP($C270,'FERDİ SONUÇ'!$B$6:$H$819,6,0))</f>
      </c>
      <c r="G270" s="122" t="str">
        <f>IF(OR(E270="",F270="DQ",F270="DNF",F270="DNS",F270=""),"-",VLOOKUP(C270,'FERDİ SONUÇ'!$B$6:$H$819,7,0))</f>
        <v>-</v>
      </c>
      <c r="H270" s="118"/>
    </row>
    <row r="271" spans="1:8" s="120" customFormat="1" ht="19.5" customHeight="1">
      <c r="A271" s="104"/>
      <c r="B271" s="105"/>
      <c r="C271" s="106">
        <f>IF(A273="","",INDEX('TAKIM KAYIT'!$C$6:$C$305,MATCH(C273,'TAKIM KAYIT'!$C$6:$C$305,0)-2))</f>
      </c>
      <c r="D271" s="119">
        <f>IF(ISERROR(VLOOKUP($C271,'START LİSTE'!$B$6:$G$1006,2,0)),"",VLOOKUP($C271,'START LİSTE'!$B$6:$G$1006,2,0))</f>
      </c>
      <c r="E271" s="108">
        <f>IF(ISERROR(VLOOKUP($C271,'START LİSTE'!$B$6:$G$1006,4,0)),"",VLOOKUP($C271,'START LİSTE'!$B$6:$G$1006,4,0))</f>
      </c>
      <c r="F271" s="124">
        <f>IF(ISERROR(VLOOKUP($C271,'FERDİ SONUÇ'!$B$6:$H$819,6,0)),"",VLOOKUP($C271,'FERDİ SONUÇ'!$B$6:$H$819,6,0))</f>
      </c>
      <c r="G271" s="121" t="str">
        <f>IF(OR(E271="",F271="DQ",F271="DNF",F271="DNS",F271=""),"-",VLOOKUP(C271,'FERDİ SONUÇ'!$B$6:$H$819,7,0))</f>
        <v>-</v>
      </c>
      <c r="H271" s="110"/>
    </row>
    <row r="272" spans="1:8" s="120" customFormat="1" ht="19.5" customHeight="1">
      <c r="A272" s="112"/>
      <c r="B272" s="113"/>
      <c r="C272" s="114">
        <f>IF(A273="","",INDEX('TAKIM KAYIT'!$C$6:$C$305,MATCH(C273,'TAKIM KAYIT'!$C$6:$C$305,0)-1))</f>
      </c>
      <c r="D272" s="115">
        <f>IF(ISERROR(VLOOKUP($C272,'START LİSTE'!$B$6:$G$1006,2,0)),"",VLOOKUP($C272,'START LİSTE'!$B$6:$G$1006,2,0))</f>
      </c>
      <c r="E272" s="116">
        <f>IF(ISERROR(VLOOKUP($C272,'START LİSTE'!$B$6:$G$1006,4,0)),"",VLOOKUP($C272,'START LİSTE'!$B$6:$G$1006,4,0))</f>
      </c>
      <c r="F272" s="125">
        <f>IF(ISERROR(VLOOKUP($C272,'FERDİ SONUÇ'!$B$6:$H$819,6,0)),"",VLOOKUP($C272,'FERDİ SONUÇ'!$B$6:$H$819,6,0))</f>
      </c>
      <c r="G272" s="122" t="str">
        <f>IF(OR(E272="",F272="DQ",F272="DNF",F272="DNS",F272=""),"-",VLOOKUP(C272,'FERDİ SONUÇ'!$B$6:$H$819,7,0))</f>
        <v>-</v>
      </c>
      <c r="H272" s="118"/>
    </row>
    <row r="273" spans="1:8" s="120" customFormat="1" ht="19.5" customHeight="1">
      <c r="A273" s="112">
        <f>IF(ISERROR(SMALL('TAKIM KAYIT'!$A$6:$A$305,54)),"",SMALL('TAKIM KAYIT'!$A$6:$A$305,54))</f>
      </c>
      <c r="B273" s="113">
        <f>IF(A273="","",VLOOKUP(A273,'TAKIM KAYIT'!$A$6:$J$305,2,FALSE))</f>
      </c>
      <c r="C273" s="114">
        <f>IF(A273="","",VLOOKUP(A273,'TAKIM KAYIT'!$A$6:$J$305,3,FALSE))</f>
      </c>
      <c r="D273" s="115">
        <f>IF(ISERROR(VLOOKUP($C273,'START LİSTE'!$B$6:$G$1006,2,0)),"",VLOOKUP($C273,'START LİSTE'!$B$6:$G$1006,2,0))</f>
      </c>
      <c r="E273" s="116">
        <f>IF(ISERROR(VLOOKUP($C273,'START LİSTE'!$B$6:$G$1006,4,0)),"",VLOOKUP($C273,'START LİSTE'!$B$6:$G$1006,4,0))</f>
      </c>
      <c r="F273" s="125">
        <f>IF(ISERROR(VLOOKUP($C273,'FERDİ SONUÇ'!$B$6:$H$819,6,0)),"",VLOOKUP($C273,'FERDİ SONUÇ'!$B$6:$H$819,6,0))</f>
      </c>
      <c r="G273" s="122" t="str">
        <f>IF(OR(E273="",F273="DQ",F273="DNF",F273="DNS",F273=""),"-",VLOOKUP(C273,'FERDİ SONUÇ'!$B$6:$H$819,7,0))</f>
        <v>-</v>
      </c>
      <c r="H273" s="118">
        <f>IF(A273="","",VLOOKUP(A273,'TAKIM KAYIT'!$A$6:$K$305,10,FALSE))</f>
      </c>
    </row>
    <row r="274" spans="1:8" s="120" customFormat="1" ht="19.5" customHeight="1">
      <c r="A274" s="112"/>
      <c r="B274" s="113"/>
      <c r="C274" s="114">
        <f>IF(A273="","",INDEX('TAKIM KAYIT'!$C$6:$C$305,MATCH(C273,'TAKIM KAYIT'!$C$6:$C$305,0)+1))</f>
      </c>
      <c r="D274" s="115">
        <f>IF(ISERROR(VLOOKUP($C274,'START LİSTE'!$B$6:$G$1006,2,0)),"",VLOOKUP($C274,'START LİSTE'!$B$6:$G$1006,2,0))</f>
      </c>
      <c r="E274" s="116">
        <f>IF(ISERROR(VLOOKUP($C274,'START LİSTE'!$B$6:$G$1006,4,0)),"",VLOOKUP($C274,'START LİSTE'!$B$6:$G$1006,4,0))</f>
      </c>
      <c r="F274" s="125">
        <f>IF(ISERROR(VLOOKUP($C274,'FERDİ SONUÇ'!$B$6:$H$819,6,0)),"",VLOOKUP($C274,'FERDİ SONUÇ'!$B$6:$H$819,6,0))</f>
      </c>
      <c r="G274" s="122" t="str">
        <f>IF(OR(E274="",F274="DQ",F274="DNF",F274="DNS",F274=""),"-",VLOOKUP(C274,'FERDİ SONUÇ'!$B$6:$H$819,7,0))</f>
        <v>-</v>
      </c>
      <c r="H274" s="118"/>
    </row>
    <row r="275" spans="1:8" s="120" customFormat="1" ht="19.5" customHeight="1">
      <c r="A275" s="112"/>
      <c r="B275" s="113"/>
      <c r="C275" s="114">
        <f>IF(A273="","",INDEX('TAKIM KAYIT'!$C$6:$C$305,MATCH(C273,'TAKIM KAYIT'!$C$6:$C$305,0)+2))</f>
      </c>
      <c r="D275" s="115">
        <f>IF(ISERROR(VLOOKUP($C275,'START LİSTE'!$B$6:$G$1006,2,0)),"",VLOOKUP($C275,'START LİSTE'!$B$6:$G$1006,2,0))</f>
      </c>
      <c r="E275" s="116">
        <f>IF(ISERROR(VLOOKUP($C275,'START LİSTE'!$B$6:$G$1006,4,0)),"",VLOOKUP($C275,'START LİSTE'!$B$6:$G$1006,4,0))</f>
      </c>
      <c r="F275" s="125">
        <f>IF(ISERROR(VLOOKUP($C275,'FERDİ SONUÇ'!$B$6:$H$819,6,0)),"",VLOOKUP($C275,'FERDİ SONUÇ'!$B$6:$H$819,6,0))</f>
      </c>
      <c r="G275" s="122" t="str">
        <f>IF(OR(E275="",F275="DQ",F275="DNF",F275="DNS",F275=""),"-",VLOOKUP(C275,'FERDİ SONUÇ'!$B$6:$H$819,7,0))</f>
        <v>-</v>
      </c>
      <c r="H275" s="118"/>
    </row>
    <row r="276" spans="1:8" s="120" customFormat="1" ht="19.5" customHeight="1">
      <c r="A276" s="104"/>
      <c r="B276" s="105"/>
      <c r="C276" s="106">
        <f>IF(A278="","",INDEX('TAKIM KAYIT'!$C$6:$C$305,MATCH(C278,'TAKIM KAYIT'!$C$6:$C$305,0)-2))</f>
      </c>
      <c r="D276" s="119">
        <f>IF(ISERROR(VLOOKUP($C276,'START LİSTE'!$B$6:$G$1006,2,0)),"",VLOOKUP($C276,'START LİSTE'!$B$6:$G$1006,2,0))</f>
      </c>
      <c r="E276" s="108">
        <f>IF(ISERROR(VLOOKUP($C276,'START LİSTE'!$B$6:$G$1006,4,0)),"",VLOOKUP($C276,'START LİSTE'!$B$6:$G$1006,4,0))</f>
      </c>
      <c r="F276" s="124">
        <f>IF(ISERROR(VLOOKUP($C276,'FERDİ SONUÇ'!$B$6:$H$819,6,0)),"",VLOOKUP($C276,'FERDİ SONUÇ'!$B$6:$H$819,6,0))</f>
      </c>
      <c r="G276" s="121" t="str">
        <f>IF(OR(E276="",F276="DQ",F276="DNF",F276="DNS",F276=""),"-",VLOOKUP(C276,'FERDİ SONUÇ'!$B$6:$H$819,7,0))</f>
        <v>-</v>
      </c>
      <c r="H276" s="110"/>
    </row>
    <row r="277" spans="1:8" s="120" customFormat="1" ht="19.5" customHeight="1">
      <c r="A277" s="112"/>
      <c r="B277" s="113"/>
      <c r="C277" s="114">
        <f>IF(A278="","",INDEX('TAKIM KAYIT'!$C$6:$C$305,MATCH(C278,'TAKIM KAYIT'!$C$6:$C$305,0)-1))</f>
      </c>
      <c r="D277" s="115">
        <f>IF(ISERROR(VLOOKUP($C277,'START LİSTE'!$B$6:$G$1006,2,0)),"",VLOOKUP($C277,'START LİSTE'!$B$6:$G$1006,2,0))</f>
      </c>
      <c r="E277" s="116">
        <f>IF(ISERROR(VLOOKUP($C277,'START LİSTE'!$B$6:$G$1006,4,0)),"",VLOOKUP($C277,'START LİSTE'!$B$6:$G$1006,4,0))</f>
      </c>
      <c r="F277" s="125">
        <f>IF(ISERROR(VLOOKUP($C277,'FERDİ SONUÇ'!$B$6:$H$819,6,0)),"",VLOOKUP($C277,'FERDİ SONUÇ'!$B$6:$H$819,6,0))</f>
      </c>
      <c r="G277" s="122" t="str">
        <f>IF(OR(E277="",F277="DQ",F277="DNF",F277="DNS",F277=""),"-",VLOOKUP(C277,'FERDİ SONUÇ'!$B$6:$H$819,7,0))</f>
        <v>-</v>
      </c>
      <c r="H277" s="118"/>
    </row>
    <row r="278" spans="1:8" s="120" customFormat="1" ht="19.5" customHeight="1">
      <c r="A278" s="112">
        <f>IF(ISERROR(SMALL('TAKIM KAYIT'!$A$6:$A$305,55)),"",SMALL('TAKIM KAYIT'!$A$6:$A$305,55))</f>
      </c>
      <c r="B278" s="113">
        <f>IF(A278="","",VLOOKUP(A278,'TAKIM KAYIT'!$A$6:$J$305,2,FALSE))</f>
      </c>
      <c r="C278" s="114">
        <f>IF(A278="","",VLOOKUP(A278,'TAKIM KAYIT'!$A$6:$J$305,3,FALSE))</f>
      </c>
      <c r="D278" s="115">
        <f>IF(ISERROR(VLOOKUP($C278,'START LİSTE'!$B$6:$G$1006,2,0)),"",VLOOKUP($C278,'START LİSTE'!$B$6:$G$1006,2,0))</f>
      </c>
      <c r="E278" s="116">
        <f>IF(ISERROR(VLOOKUP($C278,'START LİSTE'!$B$6:$G$1006,4,0)),"",VLOOKUP($C278,'START LİSTE'!$B$6:$G$1006,4,0))</f>
      </c>
      <c r="F278" s="125">
        <f>IF(ISERROR(VLOOKUP($C278,'FERDİ SONUÇ'!$B$6:$H$819,6,0)),"",VLOOKUP($C278,'FERDİ SONUÇ'!$B$6:$H$819,6,0))</f>
      </c>
      <c r="G278" s="122" t="str">
        <f>IF(OR(E278="",F278="DQ",F278="DNF",F278="DNS",F278=""),"-",VLOOKUP(C278,'FERDİ SONUÇ'!$B$6:$H$819,7,0))</f>
        <v>-</v>
      </c>
      <c r="H278" s="118">
        <f>IF(A278="","",VLOOKUP(A278,'TAKIM KAYIT'!$A$6:$K$305,10,FALSE))</f>
      </c>
    </row>
    <row r="279" spans="1:8" s="120" customFormat="1" ht="19.5" customHeight="1">
      <c r="A279" s="112"/>
      <c r="B279" s="113"/>
      <c r="C279" s="114">
        <f>IF(A278="","",INDEX('TAKIM KAYIT'!$C$6:$C$305,MATCH(C278,'TAKIM KAYIT'!$C$6:$C$305,0)+1))</f>
      </c>
      <c r="D279" s="115">
        <f>IF(ISERROR(VLOOKUP($C279,'START LİSTE'!$B$6:$G$1006,2,0)),"",VLOOKUP($C279,'START LİSTE'!$B$6:$G$1006,2,0))</f>
      </c>
      <c r="E279" s="116">
        <f>IF(ISERROR(VLOOKUP($C279,'START LİSTE'!$B$6:$G$1006,4,0)),"",VLOOKUP($C279,'START LİSTE'!$B$6:$G$1006,4,0))</f>
      </c>
      <c r="F279" s="125">
        <f>IF(ISERROR(VLOOKUP($C279,'FERDİ SONUÇ'!$B$6:$H$819,6,0)),"",VLOOKUP($C279,'FERDİ SONUÇ'!$B$6:$H$819,6,0))</f>
      </c>
      <c r="G279" s="122" t="str">
        <f>IF(OR(E279="",F279="DQ",F279="DNF",F279="DNS",F279=""),"-",VLOOKUP(C279,'FERDİ SONUÇ'!$B$6:$H$819,7,0))</f>
        <v>-</v>
      </c>
      <c r="H279" s="118"/>
    </row>
    <row r="280" spans="1:8" s="120" customFormat="1" ht="19.5" customHeight="1">
      <c r="A280" s="112"/>
      <c r="B280" s="113"/>
      <c r="C280" s="114">
        <f>IF(A278="","",INDEX('TAKIM KAYIT'!$C$6:$C$305,MATCH(C278,'TAKIM KAYIT'!$C$6:$C$305,0)+2))</f>
      </c>
      <c r="D280" s="115">
        <f>IF(ISERROR(VLOOKUP($C280,'START LİSTE'!$B$6:$G$1006,2,0)),"",VLOOKUP($C280,'START LİSTE'!$B$6:$G$1006,2,0))</f>
      </c>
      <c r="E280" s="116">
        <f>IF(ISERROR(VLOOKUP($C280,'START LİSTE'!$B$6:$G$1006,4,0)),"",VLOOKUP($C280,'START LİSTE'!$B$6:$G$1006,4,0))</f>
      </c>
      <c r="F280" s="125">
        <f>IF(ISERROR(VLOOKUP($C280,'FERDİ SONUÇ'!$B$6:$H$819,6,0)),"",VLOOKUP($C280,'FERDİ SONUÇ'!$B$6:$H$819,6,0))</f>
      </c>
      <c r="G280" s="122" t="str">
        <f>IF(OR(E280="",F280="DQ",F280="DNF",F280="DNS",F280=""),"-",VLOOKUP(C280,'FERDİ SONUÇ'!$B$6:$H$819,7,0))</f>
        <v>-</v>
      </c>
      <c r="H280" s="118"/>
    </row>
    <row r="281" spans="1:8" s="120" customFormat="1" ht="19.5" customHeight="1">
      <c r="A281" s="104"/>
      <c r="B281" s="105"/>
      <c r="C281" s="106">
        <f>IF(A283="","",INDEX('TAKIM KAYIT'!$C$6:$C$305,MATCH(C283,'TAKIM KAYIT'!$C$6:$C$305,0)-2))</f>
      </c>
      <c r="D281" s="119">
        <f>IF(ISERROR(VLOOKUP($C281,'START LİSTE'!$B$6:$G$1006,2,0)),"",VLOOKUP($C281,'START LİSTE'!$B$6:$G$1006,2,0))</f>
      </c>
      <c r="E281" s="108">
        <f>IF(ISERROR(VLOOKUP($C281,'START LİSTE'!$B$6:$G$1006,4,0)),"",VLOOKUP($C281,'START LİSTE'!$B$6:$G$1006,4,0))</f>
      </c>
      <c r="F281" s="124">
        <f>IF(ISERROR(VLOOKUP($C281,'FERDİ SONUÇ'!$B$6:$H$819,6,0)),"",VLOOKUP($C281,'FERDİ SONUÇ'!$B$6:$H$819,6,0))</f>
      </c>
      <c r="G281" s="121" t="str">
        <f>IF(OR(E281="",F281="DQ",F281="DNF",F281="DNS",F281=""),"-",VLOOKUP(C281,'FERDİ SONUÇ'!$B$6:$H$819,7,0))</f>
        <v>-</v>
      </c>
      <c r="H281" s="110"/>
    </row>
    <row r="282" spans="1:8" s="120" customFormat="1" ht="19.5" customHeight="1">
      <c r="A282" s="112"/>
      <c r="B282" s="113"/>
      <c r="C282" s="114">
        <f>IF(A283="","",INDEX('TAKIM KAYIT'!$C$6:$C$305,MATCH(C283,'TAKIM KAYIT'!$C$6:$C$305,0)-1))</f>
      </c>
      <c r="D282" s="115">
        <f>IF(ISERROR(VLOOKUP($C282,'START LİSTE'!$B$6:$G$1006,2,0)),"",VLOOKUP($C282,'START LİSTE'!$B$6:$G$1006,2,0))</f>
      </c>
      <c r="E282" s="116">
        <f>IF(ISERROR(VLOOKUP($C282,'START LİSTE'!$B$6:$G$1006,4,0)),"",VLOOKUP($C282,'START LİSTE'!$B$6:$G$1006,4,0))</f>
      </c>
      <c r="F282" s="125">
        <f>IF(ISERROR(VLOOKUP($C282,'FERDİ SONUÇ'!$B$6:$H$819,6,0)),"",VLOOKUP($C282,'FERDİ SONUÇ'!$B$6:$H$819,6,0))</f>
      </c>
      <c r="G282" s="122" t="str">
        <f>IF(OR(E282="",F282="DQ",F282="DNF",F282="DNS",F282=""),"-",VLOOKUP(C282,'FERDİ SONUÇ'!$B$6:$H$819,7,0))</f>
        <v>-</v>
      </c>
      <c r="H282" s="118"/>
    </row>
    <row r="283" spans="1:8" s="120" customFormat="1" ht="19.5" customHeight="1">
      <c r="A283" s="112">
        <f>IF(ISERROR(SMALL('TAKIM KAYIT'!$A$6:$A$305,56)),"",SMALL('TAKIM KAYIT'!$A$6:$A$305,56))</f>
      </c>
      <c r="B283" s="113">
        <f>IF(A283="","",VLOOKUP(A283,'TAKIM KAYIT'!$A$6:$J$305,2,FALSE))</f>
      </c>
      <c r="C283" s="114">
        <f>IF(A283="","",VLOOKUP(A283,'TAKIM KAYIT'!$A$6:$J$305,3,FALSE))</f>
      </c>
      <c r="D283" s="115">
        <f>IF(ISERROR(VLOOKUP($C283,'START LİSTE'!$B$6:$G$1006,2,0)),"",VLOOKUP($C283,'START LİSTE'!$B$6:$G$1006,2,0))</f>
      </c>
      <c r="E283" s="116">
        <f>IF(ISERROR(VLOOKUP($C283,'START LİSTE'!$B$6:$G$1006,4,0)),"",VLOOKUP($C283,'START LİSTE'!$B$6:$G$1006,4,0))</f>
      </c>
      <c r="F283" s="125">
        <f>IF(ISERROR(VLOOKUP($C283,'FERDİ SONUÇ'!$B$6:$H$819,6,0)),"",VLOOKUP($C283,'FERDİ SONUÇ'!$B$6:$H$819,6,0))</f>
      </c>
      <c r="G283" s="122" t="str">
        <f>IF(OR(E283="",F283="DQ",F283="DNF",F283="DNS",F283=""),"-",VLOOKUP(C283,'FERDİ SONUÇ'!$B$6:$H$819,7,0))</f>
        <v>-</v>
      </c>
      <c r="H283" s="118">
        <f>IF(A283="","",VLOOKUP(A283,'TAKIM KAYIT'!$A$6:$K$305,10,FALSE))</f>
      </c>
    </row>
    <row r="284" spans="1:8" s="120" customFormat="1" ht="19.5" customHeight="1">
      <c r="A284" s="112"/>
      <c r="B284" s="113"/>
      <c r="C284" s="114">
        <f>IF(A283="","",INDEX('TAKIM KAYIT'!$C$6:$C$305,MATCH(C283,'TAKIM KAYIT'!$C$6:$C$305,0)+1))</f>
      </c>
      <c r="D284" s="115">
        <f>IF(ISERROR(VLOOKUP($C284,'START LİSTE'!$B$6:$G$1006,2,0)),"",VLOOKUP($C284,'START LİSTE'!$B$6:$G$1006,2,0))</f>
      </c>
      <c r="E284" s="116">
        <f>IF(ISERROR(VLOOKUP($C284,'START LİSTE'!$B$6:$G$1006,4,0)),"",VLOOKUP($C284,'START LİSTE'!$B$6:$G$1006,4,0))</f>
      </c>
      <c r="F284" s="125">
        <f>IF(ISERROR(VLOOKUP($C284,'FERDİ SONUÇ'!$B$6:$H$819,6,0)),"",VLOOKUP($C284,'FERDİ SONUÇ'!$B$6:$H$819,6,0))</f>
      </c>
      <c r="G284" s="122" t="str">
        <f>IF(OR(E284="",F284="DQ",F284="DNF",F284="DNS",F284=""),"-",VLOOKUP(C284,'FERDİ SONUÇ'!$B$6:$H$819,7,0))</f>
        <v>-</v>
      </c>
      <c r="H284" s="118"/>
    </row>
    <row r="285" spans="1:8" s="120" customFormat="1" ht="19.5" customHeight="1">
      <c r="A285" s="112"/>
      <c r="B285" s="113"/>
      <c r="C285" s="114">
        <f>IF(A283="","",INDEX('TAKIM KAYIT'!$C$6:$C$305,MATCH(C283,'TAKIM KAYIT'!$C$6:$C$305,0)+2))</f>
      </c>
      <c r="D285" s="115">
        <f>IF(ISERROR(VLOOKUP($C285,'START LİSTE'!$B$6:$G$1006,2,0)),"",VLOOKUP($C285,'START LİSTE'!$B$6:$G$1006,2,0))</f>
      </c>
      <c r="E285" s="116">
        <f>IF(ISERROR(VLOOKUP($C285,'START LİSTE'!$B$6:$G$1006,4,0)),"",VLOOKUP($C285,'START LİSTE'!$B$6:$G$1006,4,0))</f>
      </c>
      <c r="F285" s="125">
        <f>IF(ISERROR(VLOOKUP($C285,'FERDİ SONUÇ'!$B$6:$H$819,6,0)),"",VLOOKUP($C285,'FERDİ SONUÇ'!$B$6:$H$819,6,0))</f>
      </c>
      <c r="G285" s="122" t="str">
        <f>IF(OR(E285="",F285="DQ",F285="DNF",F285="DNS",F285=""),"-",VLOOKUP(C285,'FERDİ SONUÇ'!$B$6:$H$819,7,0))</f>
        <v>-</v>
      </c>
      <c r="H285" s="118"/>
    </row>
    <row r="286" spans="1:8" s="120" customFormat="1" ht="19.5" customHeight="1">
      <c r="A286" s="104"/>
      <c r="B286" s="105"/>
      <c r="C286" s="106">
        <f>IF(A288="","",INDEX('TAKIM KAYIT'!$C$6:$C$305,MATCH(C288,'TAKIM KAYIT'!$C$6:$C$305,0)-2))</f>
      </c>
      <c r="D286" s="119">
        <f>IF(ISERROR(VLOOKUP($C286,'START LİSTE'!$B$6:$G$1006,2,0)),"",VLOOKUP($C286,'START LİSTE'!$B$6:$G$1006,2,0))</f>
      </c>
      <c r="E286" s="108">
        <f>IF(ISERROR(VLOOKUP($C286,'START LİSTE'!$B$6:$G$1006,4,0)),"",VLOOKUP($C286,'START LİSTE'!$B$6:$G$1006,4,0))</f>
      </c>
      <c r="F286" s="124">
        <f>IF(ISERROR(VLOOKUP($C286,'FERDİ SONUÇ'!$B$6:$H$819,6,0)),"",VLOOKUP($C286,'FERDİ SONUÇ'!$B$6:$H$819,6,0))</f>
      </c>
      <c r="G286" s="121" t="str">
        <f>IF(OR(E286="",F286="DQ",F286="DNF",F286="DNS",F286=""),"-",VLOOKUP(C286,'FERDİ SONUÇ'!$B$6:$H$819,7,0))</f>
        <v>-</v>
      </c>
      <c r="H286" s="110"/>
    </row>
    <row r="287" spans="1:8" s="120" customFormat="1" ht="19.5" customHeight="1">
      <c r="A287" s="112"/>
      <c r="B287" s="113"/>
      <c r="C287" s="114">
        <f>IF(A288="","",INDEX('TAKIM KAYIT'!$C$6:$C$305,MATCH(C288,'TAKIM KAYIT'!$C$6:$C$305,0)-1))</f>
      </c>
      <c r="D287" s="115">
        <f>IF(ISERROR(VLOOKUP($C287,'START LİSTE'!$B$6:$G$1006,2,0)),"",VLOOKUP($C287,'START LİSTE'!$B$6:$G$1006,2,0))</f>
      </c>
      <c r="E287" s="116">
        <f>IF(ISERROR(VLOOKUP($C287,'START LİSTE'!$B$6:$G$1006,4,0)),"",VLOOKUP($C287,'START LİSTE'!$B$6:$G$1006,4,0))</f>
      </c>
      <c r="F287" s="125">
        <f>IF(ISERROR(VLOOKUP($C287,'FERDİ SONUÇ'!$B$6:$H$819,6,0)),"",VLOOKUP($C287,'FERDİ SONUÇ'!$B$6:$H$819,6,0))</f>
      </c>
      <c r="G287" s="122" t="str">
        <f>IF(OR(E287="",F287="DQ",F287="DNF",F287="DNS",F287=""),"-",VLOOKUP(C287,'FERDİ SONUÇ'!$B$6:$H$819,7,0))</f>
        <v>-</v>
      </c>
      <c r="H287" s="118"/>
    </row>
    <row r="288" spans="1:8" s="120" customFormat="1" ht="19.5" customHeight="1">
      <c r="A288" s="112">
        <f>IF(ISERROR(SMALL('TAKIM KAYIT'!$A$6:$A$305,57)),"",SMALL('TAKIM KAYIT'!$A$6:$A$305,57))</f>
      </c>
      <c r="B288" s="113">
        <f>IF(A288="","",VLOOKUP(A288,'TAKIM KAYIT'!$A$6:$J$305,2,FALSE))</f>
      </c>
      <c r="C288" s="114">
        <f>IF(A288="","",VLOOKUP(A288,'TAKIM KAYIT'!$A$6:$J$305,3,FALSE))</f>
      </c>
      <c r="D288" s="115">
        <f>IF(ISERROR(VLOOKUP($C288,'START LİSTE'!$B$6:$G$1006,2,0)),"",VLOOKUP($C288,'START LİSTE'!$B$6:$G$1006,2,0))</f>
      </c>
      <c r="E288" s="116">
        <f>IF(ISERROR(VLOOKUP($C288,'START LİSTE'!$B$6:$G$1006,4,0)),"",VLOOKUP($C288,'START LİSTE'!$B$6:$G$1006,4,0))</f>
      </c>
      <c r="F288" s="125">
        <f>IF(ISERROR(VLOOKUP($C288,'FERDİ SONUÇ'!$B$6:$H$819,6,0)),"",VLOOKUP($C288,'FERDİ SONUÇ'!$B$6:$H$819,6,0))</f>
      </c>
      <c r="G288" s="122" t="str">
        <f>IF(OR(E288="",F288="DQ",F288="DNF",F288="DNS",F288=""),"-",VLOOKUP(C288,'FERDİ SONUÇ'!$B$6:$H$819,7,0))</f>
        <v>-</v>
      </c>
      <c r="H288" s="118">
        <f>IF(A288="","",VLOOKUP(A288,'TAKIM KAYIT'!$A$6:$K$305,10,FALSE))</f>
      </c>
    </row>
    <row r="289" spans="1:8" s="120" customFormat="1" ht="19.5" customHeight="1">
      <c r="A289" s="112"/>
      <c r="B289" s="113"/>
      <c r="C289" s="114">
        <f>IF(A288="","",INDEX('TAKIM KAYIT'!$C$6:$C$305,MATCH(C288,'TAKIM KAYIT'!$C$6:$C$305,0)+1))</f>
      </c>
      <c r="D289" s="115">
        <f>IF(ISERROR(VLOOKUP($C289,'START LİSTE'!$B$6:$G$1006,2,0)),"",VLOOKUP($C289,'START LİSTE'!$B$6:$G$1006,2,0))</f>
      </c>
      <c r="E289" s="116">
        <f>IF(ISERROR(VLOOKUP($C289,'START LİSTE'!$B$6:$G$1006,4,0)),"",VLOOKUP($C289,'START LİSTE'!$B$6:$G$1006,4,0))</f>
      </c>
      <c r="F289" s="125">
        <f>IF(ISERROR(VLOOKUP($C289,'FERDİ SONUÇ'!$B$6:$H$819,6,0)),"",VLOOKUP($C289,'FERDİ SONUÇ'!$B$6:$H$819,6,0))</f>
      </c>
      <c r="G289" s="122" t="str">
        <f>IF(OR(E289="",F289="DQ",F289="DNF",F289="DNS",F289=""),"-",VLOOKUP(C289,'FERDİ SONUÇ'!$B$6:$H$819,7,0))</f>
        <v>-</v>
      </c>
      <c r="H289" s="118"/>
    </row>
    <row r="290" spans="1:8" s="120" customFormat="1" ht="19.5" customHeight="1">
      <c r="A290" s="112"/>
      <c r="B290" s="113"/>
      <c r="C290" s="114">
        <f>IF(A288="","",INDEX('TAKIM KAYIT'!$C$6:$C$305,MATCH(C288,'TAKIM KAYIT'!$C$6:$C$305,0)+2))</f>
      </c>
      <c r="D290" s="115">
        <f>IF(ISERROR(VLOOKUP($C290,'START LİSTE'!$B$6:$G$1006,2,0)),"",VLOOKUP($C290,'START LİSTE'!$B$6:$G$1006,2,0))</f>
      </c>
      <c r="E290" s="116">
        <f>IF(ISERROR(VLOOKUP($C290,'START LİSTE'!$B$6:$G$1006,4,0)),"",VLOOKUP($C290,'START LİSTE'!$B$6:$G$1006,4,0))</f>
      </c>
      <c r="F290" s="125">
        <f>IF(ISERROR(VLOOKUP($C290,'FERDİ SONUÇ'!$B$6:$H$819,6,0)),"",VLOOKUP($C290,'FERDİ SONUÇ'!$B$6:$H$819,6,0))</f>
      </c>
      <c r="G290" s="122" t="str">
        <f>IF(OR(E290="",F290="DQ",F290="DNF",F290="DNS",F290=""),"-",VLOOKUP(C290,'FERDİ SONUÇ'!$B$6:$H$819,7,0))</f>
        <v>-</v>
      </c>
      <c r="H290" s="118"/>
    </row>
    <row r="291" spans="1:8" s="120" customFormat="1" ht="19.5" customHeight="1">
      <c r="A291" s="104"/>
      <c r="B291" s="105"/>
      <c r="C291" s="106">
        <f>IF(A293="","",INDEX('TAKIM KAYIT'!$C$6:$C$305,MATCH(C293,'TAKIM KAYIT'!$C$6:$C$305,0)-2))</f>
      </c>
      <c r="D291" s="119">
        <f>IF(ISERROR(VLOOKUP($C291,'START LİSTE'!$B$6:$G$1006,2,0)),"",VLOOKUP($C291,'START LİSTE'!$B$6:$G$1006,2,0))</f>
      </c>
      <c r="E291" s="108">
        <f>IF(ISERROR(VLOOKUP($C291,'START LİSTE'!$B$6:$G$1006,4,0)),"",VLOOKUP($C291,'START LİSTE'!$B$6:$G$1006,4,0))</f>
      </c>
      <c r="F291" s="124">
        <f>IF(ISERROR(VLOOKUP($C291,'FERDİ SONUÇ'!$B$6:$H$819,6,0)),"",VLOOKUP($C291,'FERDİ SONUÇ'!$B$6:$H$819,6,0))</f>
      </c>
      <c r="G291" s="121" t="str">
        <f>IF(OR(E291="",F291="DQ",F291="DNF",F291="DNS",F291=""),"-",VLOOKUP(C291,'FERDİ SONUÇ'!$B$6:$H$819,7,0))</f>
        <v>-</v>
      </c>
      <c r="H291" s="110"/>
    </row>
    <row r="292" spans="1:8" s="120" customFormat="1" ht="19.5" customHeight="1">
      <c r="A292" s="112"/>
      <c r="B292" s="113"/>
      <c r="C292" s="114">
        <f>IF(A293="","",INDEX('TAKIM KAYIT'!$C$6:$C$305,MATCH(C293,'TAKIM KAYIT'!$C$6:$C$305,0)-1))</f>
      </c>
      <c r="D292" s="115">
        <f>IF(ISERROR(VLOOKUP($C292,'START LİSTE'!$B$6:$G$1006,2,0)),"",VLOOKUP($C292,'START LİSTE'!$B$6:$G$1006,2,0))</f>
      </c>
      <c r="E292" s="116">
        <f>IF(ISERROR(VLOOKUP($C292,'START LİSTE'!$B$6:$G$1006,4,0)),"",VLOOKUP($C292,'START LİSTE'!$B$6:$G$1006,4,0))</f>
      </c>
      <c r="F292" s="125">
        <f>IF(ISERROR(VLOOKUP($C292,'FERDİ SONUÇ'!$B$6:$H$819,6,0)),"",VLOOKUP($C292,'FERDİ SONUÇ'!$B$6:$H$819,6,0))</f>
      </c>
      <c r="G292" s="122" t="str">
        <f>IF(OR(E292="",F292="DQ",F292="DNF",F292="DNS",F292=""),"-",VLOOKUP(C292,'FERDİ SONUÇ'!$B$6:$H$819,7,0))</f>
        <v>-</v>
      </c>
      <c r="H292" s="118"/>
    </row>
    <row r="293" spans="1:8" s="120" customFormat="1" ht="19.5" customHeight="1">
      <c r="A293" s="112">
        <f>IF(ISERROR(SMALL('TAKIM KAYIT'!$A$6:$A$305,58)),"",SMALL('TAKIM KAYIT'!$A$6:$A$305,58))</f>
      </c>
      <c r="B293" s="113">
        <f>IF(A293="","",VLOOKUP(A293,'TAKIM KAYIT'!$A$6:$J$305,2,FALSE))</f>
      </c>
      <c r="C293" s="114">
        <f>IF(A293="","",VLOOKUP(A293,'TAKIM KAYIT'!$A$6:$J$305,3,FALSE))</f>
      </c>
      <c r="D293" s="115">
        <f>IF(ISERROR(VLOOKUP($C293,'START LİSTE'!$B$6:$G$1006,2,0)),"",VLOOKUP($C293,'START LİSTE'!$B$6:$G$1006,2,0))</f>
      </c>
      <c r="E293" s="116">
        <f>IF(ISERROR(VLOOKUP($C293,'START LİSTE'!$B$6:$G$1006,4,0)),"",VLOOKUP($C293,'START LİSTE'!$B$6:$G$1006,4,0))</f>
      </c>
      <c r="F293" s="125">
        <f>IF(ISERROR(VLOOKUP($C293,'FERDİ SONUÇ'!$B$6:$H$819,6,0)),"",VLOOKUP($C293,'FERDİ SONUÇ'!$B$6:$H$819,6,0))</f>
      </c>
      <c r="G293" s="122" t="str">
        <f>IF(OR(E293="",F293="DQ",F293="DNF",F293="DNS",F293=""),"-",VLOOKUP(C293,'FERDİ SONUÇ'!$B$6:$H$819,7,0))</f>
        <v>-</v>
      </c>
      <c r="H293" s="118">
        <f>IF(A293="","",VLOOKUP(A293,'TAKIM KAYIT'!$A$6:$K$305,10,FALSE))</f>
      </c>
    </row>
    <row r="294" spans="1:8" s="120" customFormat="1" ht="19.5" customHeight="1">
      <c r="A294" s="112"/>
      <c r="B294" s="113"/>
      <c r="C294" s="114">
        <f>IF(A293="","",INDEX('TAKIM KAYIT'!$C$6:$C$305,MATCH(C293,'TAKIM KAYIT'!$C$6:$C$305,0)+1))</f>
      </c>
      <c r="D294" s="115">
        <f>IF(ISERROR(VLOOKUP($C294,'START LİSTE'!$B$6:$G$1006,2,0)),"",VLOOKUP($C294,'START LİSTE'!$B$6:$G$1006,2,0))</f>
      </c>
      <c r="E294" s="116">
        <f>IF(ISERROR(VLOOKUP($C294,'START LİSTE'!$B$6:$G$1006,4,0)),"",VLOOKUP($C294,'START LİSTE'!$B$6:$G$1006,4,0))</f>
      </c>
      <c r="F294" s="125">
        <f>IF(ISERROR(VLOOKUP($C294,'FERDİ SONUÇ'!$B$6:$H$819,6,0)),"",VLOOKUP($C294,'FERDİ SONUÇ'!$B$6:$H$819,6,0))</f>
      </c>
      <c r="G294" s="122" t="str">
        <f>IF(OR(E294="",F294="DQ",F294="DNF",F294="DNS",F294=""),"-",VLOOKUP(C294,'FERDİ SONUÇ'!$B$6:$H$819,7,0))</f>
        <v>-</v>
      </c>
      <c r="H294" s="118"/>
    </row>
    <row r="295" spans="1:8" s="120" customFormat="1" ht="19.5" customHeight="1">
      <c r="A295" s="112"/>
      <c r="B295" s="113"/>
      <c r="C295" s="114">
        <f>IF(A293="","",INDEX('TAKIM KAYIT'!$C$6:$C$305,MATCH(C293,'TAKIM KAYIT'!$C$6:$C$305,0)+2))</f>
      </c>
      <c r="D295" s="115">
        <f>IF(ISERROR(VLOOKUP($C295,'START LİSTE'!$B$6:$G$1006,2,0)),"",VLOOKUP($C295,'START LİSTE'!$B$6:$G$1006,2,0))</f>
      </c>
      <c r="E295" s="116">
        <f>IF(ISERROR(VLOOKUP($C295,'START LİSTE'!$B$6:$G$1006,4,0)),"",VLOOKUP($C295,'START LİSTE'!$B$6:$G$1006,4,0))</f>
      </c>
      <c r="F295" s="125">
        <f>IF(ISERROR(VLOOKUP($C295,'FERDİ SONUÇ'!$B$6:$H$819,6,0)),"",VLOOKUP($C295,'FERDİ SONUÇ'!$B$6:$H$819,6,0))</f>
      </c>
      <c r="G295" s="122" t="str">
        <f>IF(OR(E295="",F295="DQ",F295="DNF",F295="DNS",F295=""),"-",VLOOKUP(C295,'FERDİ SONUÇ'!$B$6:$H$819,7,0))</f>
        <v>-</v>
      </c>
      <c r="H295" s="118"/>
    </row>
    <row r="296" spans="1:8" s="120" customFormat="1" ht="19.5" customHeight="1">
      <c r="A296" s="104"/>
      <c r="B296" s="105"/>
      <c r="C296" s="106">
        <f>IF(A298="","",INDEX('TAKIM KAYIT'!$C$6:$C$305,MATCH(C298,'TAKIM KAYIT'!$C$6:$C$305,0)-2))</f>
      </c>
      <c r="D296" s="119">
        <f>IF(ISERROR(VLOOKUP($C296,'START LİSTE'!$B$6:$G$1006,2,0)),"",VLOOKUP($C296,'START LİSTE'!$B$6:$G$1006,2,0))</f>
      </c>
      <c r="E296" s="108">
        <f>IF(ISERROR(VLOOKUP($C296,'START LİSTE'!$B$6:$G$1006,4,0)),"",VLOOKUP($C296,'START LİSTE'!$B$6:$G$1006,4,0))</f>
      </c>
      <c r="F296" s="124">
        <f>IF(ISERROR(VLOOKUP($C296,'FERDİ SONUÇ'!$B$6:$H$819,6,0)),"",VLOOKUP($C296,'FERDİ SONUÇ'!$B$6:$H$819,6,0))</f>
      </c>
      <c r="G296" s="121" t="str">
        <f>IF(OR(E296="",F296="DQ",F296="DNF",F296="DNS",F296=""),"-",VLOOKUP(C296,'FERDİ SONUÇ'!$B$6:$H$819,7,0))</f>
        <v>-</v>
      </c>
      <c r="H296" s="110"/>
    </row>
    <row r="297" spans="1:8" s="120" customFormat="1" ht="19.5" customHeight="1">
      <c r="A297" s="112"/>
      <c r="B297" s="113"/>
      <c r="C297" s="114">
        <f>IF(A298="","",INDEX('TAKIM KAYIT'!$C$6:$C$305,MATCH(C298,'TAKIM KAYIT'!$C$6:$C$305,0)-1))</f>
      </c>
      <c r="D297" s="115">
        <f>IF(ISERROR(VLOOKUP($C297,'START LİSTE'!$B$6:$G$1006,2,0)),"",VLOOKUP($C297,'START LİSTE'!$B$6:$G$1006,2,0))</f>
      </c>
      <c r="E297" s="116">
        <f>IF(ISERROR(VLOOKUP($C297,'START LİSTE'!$B$6:$G$1006,4,0)),"",VLOOKUP($C297,'START LİSTE'!$B$6:$G$1006,4,0))</f>
      </c>
      <c r="F297" s="125">
        <f>IF(ISERROR(VLOOKUP($C297,'FERDİ SONUÇ'!$B$6:$H$819,6,0)),"",VLOOKUP($C297,'FERDİ SONUÇ'!$B$6:$H$819,6,0))</f>
      </c>
      <c r="G297" s="122" t="str">
        <f>IF(OR(E297="",F297="DQ",F297="DNF",F297="DNS",F297=""),"-",VLOOKUP(C297,'FERDİ SONUÇ'!$B$6:$H$819,7,0))</f>
        <v>-</v>
      </c>
      <c r="H297" s="118"/>
    </row>
    <row r="298" spans="1:8" s="120" customFormat="1" ht="19.5" customHeight="1">
      <c r="A298" s="112">
        <f>IF(ISERROR(SMALL('TAKIM KAYIT'!$A$6:$A$305,59)),"",SMALL('TAKIM KAYIT'!$A$6:$A$305,59))</f>
      </c>
      <c r="B298" s="113">
        <f>IF(A298="","",VLOOKUP(A298,'TAKIM KAYIT'!$A$6:$J$305,2,FALSE))</f>
      </c>
      <c r="C298" s="114">
        <f>IF(A298="","",VLOOKUP(A298,'TAKIM KAYIT'!$A$6:$J$305,3,FALSE))</f>
      </c>
      <c r="D298" s="115">
        <f>IF(ISERROR(VLOOKUP($C298,'START LİSTE'!$B$6:$G$1006,2,0)),"",VLOOKUP($C298,'START LİSTE'!$B$6:$G$1006,2,0))</f>
      </c>
      <c r="E298" s="116">
        <f>IF(ISERROR(VLOOKUP($C298,'START LİSTE'!$B$6:$G$1006,4,0)),"",VLOOKUP($C298,'START LİSTE'!$B$6:$G$1006,4,0))</f>
      </c>
      <c r="F298" s="125">
        <f>IF(ISERROR(VLOOKUP($C298,'FERDİ SONUÇ'!$B$6:$H$819,6,0)),"",VLOOKUP($C298,'FERDİ SONUÇ'!$B$6:$H$819,6,0))</f>
      </c>
      <c r="G298" s="122" t="str">
        <f>IF(OR(E298="",F298="DQ",F298="DNF",F298="DNS",F298=""),"-",VLOOKUP(C298,'FERDİ SONUÇ'!$B$6:$H$819,7,0))</f>
        <v>-</v>
      </c>
      <c r="H298" s="118">
        <f>IF(A298="","",VLOOKUP(A298,'TAKIM KAYIT'!$A$6:$K$305,10,FALSE))</f>
      </c>
    </row>
    <row r="299" spans="1:8" s="120" customFormat="1" ht="19.5" customHeight="1">
      <c r="A299" s="112"/>
      <c r="B299" s="113"/>
      <c r="C299" s="114">
        <f>IF(A298="","",INDEX('TAKIM KAYIT'!$C$6:$C$305,MATCH(C298,'TAKIM KAYIT'!$C$6:$C$305,0)+1))</f>
      </c>
      <c r="D299" s="115">
        <f>IF(ISERROR(VLOOKUP($C299,'START LİSTE'!$B$6:$G$1006,2,0)),"",VLOOKUP($C299,'START LİSTE'!$B$6:$G$1006,2,0))</f>
      </c>
      <c r="E299" s="116">
        <f>IF(ISERROR(VLOOKUP($C299,'START LİSTE'!$B$6:$G$1006,4,0)),"",VLOOKUP($C299,'START LİSTE'!$B$6:$G$1006,4,0))</f>
      </c>
      <c r="F299" s="125">
        <f>IF(ISERROR(VLOOKUP($C299,'FERDİ SONUÇ'!$B$6:$H$819,6,0)),"",VLOOKUP($C299,'FERDİ SONUÇ'!$B$6:$H$819,6,0))</f>
      </c>
      <c r="G299" s="122" t="str">
        <f>IF(OR(E299="",F299="DQ",F299="DNF",F299="DNS",F299=""),"-",VLOOKUP(C299,'FERDİ SONUÇ'!$B$6:$H$819,7,0))</f>
        <v>-</v>
      </c>
      <c r="H299" s="118"/>
    </row>
    <row r="300" spans="1:8" s="120" customFormat="1" ht="19.5" customHeight="1">
      <c r="A300" s="112"/>
      <c r="B300" s="113"/>
      <c r="C300" s="114">
        <f>IF(A298="","",INDEX('TAKIM KAYIT'!$C$6:$C$305,MATCH(C298,'TAKIM KAYIT'!$C$6:$C$305,0)+2))</f>
      </c>
      <c r="D300" s="115">
        <f>IF(ISERROR(VLOOKUP($C300,'START LİSTE'!$B$6:$G$1006,2,0)),"",VLOOKUP($C300,'START LİSTE'!$B$6:$G$1006,2,0))</f>
      </c>
      <c r="E300" s="116">
        <f>IF(ISERROR(VLOOKUP($C300,'START LİSTE'!$B$6:$G$1006,4,0)),"",VLOOKUP($C300,'START LİSTE'!$B$6:$G$1006,4,0))</f>
      </c>
      <c r="F300" s="125">
        <f>IF(ISERROR(VLOOKUP($C300,'FERDİ SONUÇ'!$B$6:$H$819,6,0)),"",VLOOKUP($C300,'FERDİ SONUÇ'!$B$6:$H$819,6,0))</f>
      </c>
      <c r="G300" s="122" t="str">
        <f>IF(OR(E300="",F300="DQ",F300="DNF",F300="DNS",F300=""),"-",VLOOKUP(C300,'FERDİ SONUÇ'!$B$6:$H$819,7,0))</f>
        <v>-</v>
      </c>
      <c r="H300" s="118"/>
    </row>
    <row r="301" spans="1:8" s="120" customFormat="1" ht="19.5" customHeight="1">
      <c r="A301" s="104"/>
      <c r="B301" s="105"/>
      <c r="C301" s="106">
        <f>IF(A303="","",INDEX('TAKIM KAYIT'!$C$6:$C$305,MATCH(C303,'TAKIM KAYIT'!$C$6:$C$305,0)-2))</f>
      </c>
      <c r="D301" s="119">
        <f>IF(ISERROR(VLOOKUP($C301,'START LİSTE'!$B$6:$G$1006,2,0)),"",VLOOKUP($C301,'START LİSTE'!$B$6:$G$1006,2,0))</f>
      </c>
      <c r="E301" s="108">
        <f>IF(ISERROR(VLOOKUP($C301,'START LİSTE'!$B$6:$G$1006,4,0)),"",VLOOKUP($C301,'START LİSTE'!$B$6:$G$1006,4,0))</f>
      </c>
      <c r="F301" s="124">
        <f>IF(ISERROR(VLOOKUP($C301,'FERDİ SONUÇ'!$B$6:$H$819,6,0)),"",VLOOKUP($C301,'FERDİ SONUÇ'!$B$6:$H$819,6,0))</f>
      </c>
      <c r="G301" s="121" t="str">
        <f>IF(OR(E301="",F301="DQ",F301="DNF",F301="DNS",F301=""),"-",VLOOKUP(C301,'FERDİ SONUÇ'!$B$6:$H$819,7,0))</f>
        <v>-</v>
      </c>
      <c r="H301" s="110"/>
    </row>
    <row r="302" spans="1:8" s="120" customFormat="1" ht="19.5" customHeight="1">
      <c r="A302" s="112"/>
      <c r="B302" s="113"/>
      <c r="C302" s="114">
        <f>IF(A303="","",INDEX('TAKIM KAYIT'!$C$6:$C$305,MATCH(C303,'TAKIM KAYIT'!$C$6:$C$305,0)-1))</f>
      </c>
      <c r="D302" s="115">
        <f>IF(ISERROR(VLOOKUP($C302,'START LİSTE'!$B$6:$G$1006,2,0)),"",VLOOKUP($C302,'START LİSTE'!$B$6:$G$1006,2,0))</f>
      </c>
      <c r="E302" s="116">
        <f>IF(ISERROR(VLOOKUP($C302,'START LİSTE'!$B$6:$G$1006,4,0)),"",VLOOKUP($C302,'START LİSTE'!$B$6:$G$1006,4,0))</f>
      </c>
      <c r="F302" s="125">
        <f>IF(ISERROR(VLOOKUP($C302,'FERDİ SONUÇ'!$B$6:$H$819,6,0)),"",VLOOKUP($C302,'FERDİ SONUÇ'!$B$6:$H$819,6,0))</f>
      </c>
      <c r="G302" s="122" t="str">
        <f>IF(OR(E302="",F302="DQ",F302="DNF",F302="DNS",F302=""),"-",VLOOKUP(C302,'FERDİ SONUÇ'!$B$6:$H$819,7,0))</f>
        <v>-</v>
      </c>
      <c r="H302" s="118"/>
    </row>
    <row r="303" spans="1:8" s="120" customFormat="1" ht="19.5" customHeight="1">
      <c r="A303" s="112">
        <f>IF(ISERROR(SMALL('TAKIM KAYIT'!$A$6:$A$305,60)),"",SMALL('TAKIM KAYIT'!$A$6:$A$305,60))</f>
      </c>
      <c r="B303" s="113">
        <f>IF(A303="","",VLOOKUP(A303,'TAKIM KAYIT'!$A$6:$J$305,2,FALSE))</f>
      </c>
      <c r="C303" s="114">
        <f>IF(A303="","",VLOOKUP(A303,'TAKIM KAYIT'!$A$6:$J$305,3,FALSE))</f>
      </c>
      <c r="D303" s="115">
        <f>IF(ISERROR(VLOOKUP($C303,'START LİSTE'!$B$6:$G$1006,2,0)),"",VLOOKUP($C303,'START LİSTE'!$B$6:$G$1006,2,0))</f>
      </c>
      <c r="E303" s="116">
        <f>IF(ISERROR(VLOOKUP($C303,'START LİSTE'!$B$6:$G$1006,4,0)),"",VLOOKUP($C303,'START LİSTE'!$B$6:$G$1006,4,0))</f>
      </c>
      <c r="F303" s="125">
        <f>IF(ISERROR(VLOOKUP($C303,'FERDİ SONUÇ'!$B$6:$H$819,6,0)),"",VLOOKUP($C303,'FERDİ SONUÇ'!$B$6:$H$819,6,0))</f>
      </c>
      <c r="G303" s="122" t="str">
        <f>IF(OR(E303="",F303="DQ",F303="DNF",F303="DNS",F303=""),"-",VLOOKUP(C303,'FERDİ SONUÇ'!$B$6:$H$819,7,0))</f>
        <v>-</v>
      </c>
      <c r="H303" s="118">
        <f>IF(A303="","",VLOOKUP(A303,'TAKIM KAYIT'!$A$6:$K$305,10,FALSE))</f>
      </c>
    </row>
    <row r="304" spans="1:8" s="120" customFormat="1" ht="19.5" customHeight="1">
      <c r="A304" s="112"/>
      <c r="B304" s="113"/>
      <c r="C304" s="114">
        <f>IF(A303="","",INDEX('TAKIM KAYIT'!$C$6:$C$305,MATCH(C303,'TAKIM KAYIT'!$C$6:$C$305,0)+1))</f>
      </c>
      <c r="D304" s="115">
        <f>IF(ISERROR(VLOOKUP($C304,'START LİSTE'!$B$6:$G$1006,2,0)),"",VLOOKUP($C304,'START LİSTE'!$B$6:$G$1006,2,0))</f>
      </c>
      <c r="E304" s="116">
        <f>IF(ISERROR(VLOOKUP($C304,'START LİSTE'!$B$6:$G$1006,4,0)),"",VLOOKUP($C304,'START LİSTE'!$B$6:$G$1006,4,0))</f>
      </c>
      <c r="F304" s="125">
        <f>IF(ISERROR(VLOOKUP($C304,'FERDİ SONUÇ'!$B$6:$H$819,6,0)),"",VLOOKUP($C304,'FERDİ SONUÇ'!$B$6:$H$819,6,0))</f>
      </c>
      <c r="G304" s="122" t="str">
        <f>IF(OR(E304="",F304="DQ",F304="DNF",F304="DNS",F304=""),"-",VLOOKUP(C304,'FERDİ SONUÇ'!$B$6:$H$819,7,0))</f>
        <v>-</v>
      </c>
      <c r="H304" s="118"/>
    </row>
    <row r="305" spans="1:8" s="120" customFormat="1" ht="19.5" customHeight="1">
      <c r="A305" s="112"/>
      <c r="B305" s="113"/>
      <c r="C305" s="114">
        <f>IF(A303="","",INDEX('TAKIM KAYIT'!$C$6:$C$305,MATCH(C303,'TAKIM KAYIT'!$C$6:$C$305,0)+2))</f>
      </c>
      <c r="D305" s="115">
        <f>IF(ISERROR(VLOOKUP($C305,'START LİSTE'!$B$6:$G$1006,2,0)),"",VLOOKUP($C305,'START LİSTE'!$B$6:$G$1006,2,0))</f>
      </c>
      <c r="E305" s="116">
        <f>IF(ISERROR(VLOOKUP($C305,'START LİSTE'!$B$6:$G$1006,4,0)),"",VLOOKUP($C305,'START LİSTE'!$B$6:$G$1006,4,0))</f>
      </c>
      <c r="F305" s="125">
        <f>IF(ISERROR(VLOOKUP($C305,'FERDİ SONUÇ'!$B$6:$H$819,6,0)),"",VLOOKUP($C305,'FERDİ SONUÇ'!$B$6:$H$819,6,0))</f>
      </c>
      <c r="G305" s="122" t="str">
        <f>IF(OR(E305="",F305="DQ",F305="DNF",F305="DNS",F305=""),"-",VLOOKUP(C305,'FERDİ SONUÇ'!$B$6:$H$819,7,0))</f>
        <v>-</v>
      </c>
      <c r="H305" s="118"/>
    </row>
  </sheetData>
  <sheetProtection password="EF9D" sheet="1"/>
  <mergeCells count="4">
    <mergeCell ref="F4:H4"/>
    <mergeCell ref="A1:H1"/>
    <mergeCell ref="A2:H2"/>
    <mergeCell ref="A3:H3"/>
  </mergeCells>
  <conditionalFormatting sqref="B5">
    <cfRule type="duplicateValues" priority="7" dxfId="15" stopIfTrue="1">
      <formula>AND(COUNTIF($B$5:$B$5,B5)&gt;1,NOT(ISBLANK(B5)))</formula>
    </cfRule>
  </conditionalFormatting>
  <conditionalFormatting sqref="A6:A155">
    <cfRule type="cellIs" priority="4" dxfId="16" operator="greaterThan">
      <formula>1000</formula>
    </cfRule>
    <cfRule type="cellIs" priority="5" dxfId="15" operator="greaterThan">
      <formula>"&gt;1000"</formula>
    </cfRule>
  </conditionalFormatting>
  <conditionalFormatting sqref="H6:H155">
    <cfRule type="duplicateValues" priority="183" dxfId="0" stopIfTrue="1">
      <formula>AND(COUNTIF($H$6:$H$155,H6)&gt;1,NOT(ISBLANK(H6)))</formula>
    </cfRule>
  </conditionalFormatting>
  <conditionalFormatting sqref="A156:A305">
    <cfRule type="cellIs" priority="2" dxfId="16" operator="greaterThan">
      <formula>1000</formula>
    </cfRule>
    <cfRule type="cellIs" priority="3" dxfId="15" operator="greaterThan">
      <formula>"&gt;1000"</formula>
    </cfRule>
  </conditionalFormatting>
  <conditionalFormatting sqref="H156:H305">
    <cfRule type="duplicateValues" priority="1" dxfId="0" stopIfTrue="1">
      <formula>AND(COUNTIF($H$156:$H$305,H156)&gt;1,NOT(ISBLANK(H156)))</formula>
    </cfRule>
  </conditionalFormatting>
  <printOptions horizontalCentered="1"/>
  <pageMargins left="0.51" right="0.12" top="0.6299212598425197" bottom="0.3937007874015748" header="0.3937007874015748" footer="0.2362204724409449"/>
  <pageSetup horizontalDpi="300" verticalDpi="300" orientation="portrait" paperSize="9" scale="90" r:id="rId2"/>
  <headerFooter alignWithMargins="0">
    <oddFooter>&amp;C&amp;P</oddFooter>
  </headerFooter>
  <rowBreaks count="5" manualBreakCount="5">
    <brk id="40" max="7" man="1"/>
    <brk id="80" max="7" man="1"/>
    <brk id="120" max="7" man="1"/>
    <brk id="180" max="7" man="1"/>
    <brk id="240" max="7" man="1"/>
  </rowBreaks>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view="pageBreakPreview" zoomScale="90" zoomScaleNormal="90" zoomScaleSheetLayoutView="90" zoomScalePageLayoutView="0" workbookViewId="0" topLeftCell="A1">
      <selection activeCell="A1" sqref="A1:IV16384"/>
    </sheetView>
  </sheetViews>
  <sheetFormatPr defaultColWidth="9.00390625" defaultRowHeight="12.75"/>
  <cols>
    <col min="1" max="1" width="171.125" style="49" customWidth="1"/>
    <col min="2" max="16384" width="9.125" style="49" customWidth="1"/>
  </cols>
  <sheetData>
    <row r="1" ht="30.75" customHeight="1">
      <c r="A1" s="48" t="s">
        <v>16</v>
      </c>
    </row>
    <row r="2" s="51" customFormat="1" ht="39" customHeight="1">
      <c r="A2" s="50" t="s">
        <v>17</v>
      </c>
    </row>
    <row r="3" s="51" customFormat="1" ht="47.25" customHeight="1">
      <c r="A3" s="50" t="s">
        <v>19</v>
      </c>
    </row>
    <row r="4" s="51" customFormat="1" ht="42" customHeight="1">
      <c r="A4" s="50" t="s">
        <v>25</v>
      </c>
    </row>
    <row r="5" s="51" customFormat="1" ht="39.75" customHeight="1">
      <c r="A5" s="50" t="s">
        <v>21</v>
      </c>
    </row>
    <row r="6" s="51" customFormat="1" ht="24.75" customHeight="1">
      <c r="A6" s="50" t="s">
        <v>24</v>
      </c>
    </row>
    <row r="7" s="51" customFormat="1" ht="43.5" customHeight="1">
      <c r="A7" s="50" t="s">
        <v>26</v>
      </c>
    </row>
    <row r="8" ht="45.75" customHeight="1">
      <c r="A8" s="52" t="s">
        <v>22</v>
      </c>
    </row>
    <row r="9" ht="60" customHeight="1">
      <c r="A9" s="52" t="s">
        <v>23</v>
      </c>
    </row>
    <row r="10" ht="31.5" customHeight="1">
      <c r="A10" s="53"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TAF13</cp:lastModifiedBy>
  <cp:lastPrinted>2014-11-10T10:44:28Z</cp:lastPrinted>
  <dcterms:created xsi:type="dcterms:W3CDTF">2008-08-11T14:10:37Z</dcterms:created>
  <dcterms:modified xsi:type="dcterms:W3CDTF">2014-11-10T12:31:13Z</dcterms:modified>
  <cp:category/>
  <cp:version/>
  <cp:contentType/>
  <cp:contentStatus/>
</cp:coreProperties>
</file>