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80" windowWidth="11355" windowHeight="9090" tabRatio="894" firstSheet="2" activeTab="5"/>
  </bookViews>
  <sheets>
    <sheet name="KAPAK" sheetId="1" state="hidden" r:id="rId1"/>
    <sheet name="START LİSTE" sheetId="2" state="hidden" r:id="rId2"/>
    <sheet name="FERDİ SONUÇ" sheetId="3" r:id="rId3"/>
    <sheet name="TAKIM KAYIT" sheetId="4" state="hidden" r:id="rId4"/>
    <sheet name="TAKIM SONUÇ" sheetId="5" r:id="rId5"/>
    <sheet name="FİNAL" sheetId="6" r:id="rId6"/>
    <sheet name="KULLANIM KILAVUZU" sheetId="7" state="hidden" r:id="rId7"/>
  </sheets>
  <definedNames>
    <definedName name="_xlfn.IFERROR" hidden="1">#NAME?</definedName>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SONUÇ'!$A$1:$H$25</definedName>
    <definedName name="_xlnm.Print_Area" localSheetId="5">'FİNAL'!$A$1:$K$21</definedName>
    <definedName name="_xlnm.Print_Area" localSheetId="1">'START LİSTE'!$A$1:$F$25</definedName>
    <definedName name="_xlnm.Print_Area" localSheetId="3">'TAKIM KAYIT'!$A$1:$O$25</definedName>
    <definedName name="_xlnm.Print_Area" localSheetId="4">'TAKIM SONUÇ'!$A$1:$H$21</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<sst xmlns="http://schemas.openxmlformats.org/spreadsheetml/2006/main" count="129" uniqueCount="69">
  <si>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</si>
  <si>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</si>
  <si>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</si>
  <si>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</si>
  <si>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</si>
  <si>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</si>
  <si>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</si>
  <si>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</si>
  <si>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</si>
  <si>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</si>
  <si>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</si>
  <si>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</si>
  <si>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</si>
  <si>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</si>
  <si>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</si>
  <si>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</si>
  <si>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</si>
  <si>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İli - Kulüp/Okul Adı</t>
  </si>
  <si>
    <t xml:space="preserve">Türkiye Atletizm Federasyonu </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</si>
  <si>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</si>
  <si>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t>
    </r>
  </si>
  <si>
    <r>
      <t xml:space="preserve">2.  </t>
    </r>
    <r>
      <rPr>
        <b/>
        <sz val="10"/>
        <rFont val="Arial Tur"/>
        <family val="0"/>
      </rPr>
      <t>START LİSTE :</t>
    </r>
    <r>
      <rPr>
        <sz val="10"/>
        <rFont val="Arial Tur"/>
        <family val="0"/>
      </rPr>
      <t xml:space="preserve"> Bu bölüme tüm takımların isim listeleri kayıt edilecektir. Her dört satıra bir takım kaydı yapılacaktır. Takım 3 kişi getirmiş ve takım oluşturmuş ise 3 kişi yazılacak, 4.cü satıra tire ( - ) konulacak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</si>
  <si>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</si>
  <si>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</si>
  <si>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</si>
  <si>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</si>
  <si>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8. Yarışma sonunda sporcuların derecelerinin tamamı yazılması gerekmektedir. Dereceler yazılırken 5:35.16 el kronometresi ile tutulan değer 5:36 olarak yuvarlanacak ve hücre biçimlendirme olduğu için 536 olarak yazdığında sütuna 5:36 olarak otomatik yazacaktır.</t>
  </si>
  <si>
    <t>9. Her kademe sonunda takımların aldıkları puanlar TAKIM KAYIT ın içindeki takım adının karşılığındaki kademe puanına manuel el ile yazılarak her kademede bu çizelge kullanılabilecektir.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</si>
  <si>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</si>
  <si>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Tüm bilgi işlem hakemlerimize başarılar dilerim.</t>
    </r>
  </si>
  <si>
    <t>1. kademe</t>
  </si>
  <si>
    <t>2. kademe</t>
  </si>
  <si>
    <t>3. kademe</t>
  </si>
  <si>
    <t>Toplam Puanı</t>
  </si>
  <si>
    <t>final</t>
  </si>
  <si>
    <t>3 km.</t>
  </si>
  <si>
    <t>Yıldız Erkekler</t>
  </si>
  <si>
    <t>Sporcu Sayısı</t>
  </si>
  <si>
    <t>Takım Sayısı</t>
  </si>
  <si>
    <r>
      <t xml:space="preserve">7. Bu çizelge her kademede kullanılacaktır. </t>
    </r>
    <r>
      <rPr>
        <b/>
        <sz val="10"/>
        <rFont val="Arial Tur"/>
        <family val="0"/>
      </rPr>
      <t>1. kademe</t>
    </r>
    <r>
      <rPr>
        <sz val="10"/>
        <rFont val="Arial Tur"/>
        <family val="0"/>
      </rPr>
      <t xml:space="preserve"> bitiminde </t>
    </r>
    <r>
      <rPr>
        <b/>
        <sz val="10"/>
        <rFont val="Arial Tur"/>
        <family val="0"/>
      </rPr>
      <t>TAKIM KAYIT</t>
    </r>
    <r>
      <rPr>
        <sz val="10"/>
        <rFont val="Arial Tur"/>
        <family val="0"/>
      </rPr>
      <t xml:space="preserve"> ın içindeki takım puanları 1. kademe  puanı olarak manuel her takımın yanına yazılacaktır. Sonraki </t>
    </r>
    <r>
      <rPr>
        <b/>
        <sz val="10"/>
        <rFont val="Arial Tur"/>
        <family val="0"/>
      </rPr>
      <t>2. kademede start liste</t>
    </r>
    <r>
      <rPr>
        <sz val="10"/>
        <rFont val="Arial Tur"/>
        <family val="0"/>
      </rPr>
      <t>lerinde takım yerleri değiştirilmeden sadece</t>
    </r>
    <r>
      <rPr>
        <b/>
        <sz val="10"/>
        <rFont val="Arial Tur"/>
        <family val="0"/>
      </rPr>
      <t xml:space="preserve"> ferdi sonuç</t>
    </r>
    <r>
      <rPr>
        <sz val="10"/>
        <rFont val="Arial Tur"/>
        <family val="0"/>
      </rPr>
      <t>ta bulunan göğüs numaraları ve dereceleri silinecektir.</t>
    </r>
    <r>
      <rPr>
        <b/>
        <sz val="10"/>
        <rFont val="Arial Tur"/>
        <family val="0"/>
      </rPr>
      <t xml:space="preserve"> 2. Kademe</t>
    </r>
    <r>
      <rPr>
        <sz val="10"/>
        <rFont val="Arial Tur"/>
        <family val="0"/>
      </rPr>
      <t xml:space="preserve"> sonunda yine takımların aldıkları puanlar otomatik olarak</t>
    </r>
    <r>
      <rPr>
        <b/>
        <sz val="10"/>
        <rFont val="Arial Tur"/>
        <family val="0"/>
      </rPr>
      <t xml:space="preserve"> 2.kademe</t>
    </r>
    <r>
      <rPr>
        <sz val="10"/>
        <rFont val="Arial Tur"/>
        <family val="0"/>
      </rPr>
      <t xml:space="preserve"> puanı olarak sistem otomatik yazacaktır.</t>
    </r>
  </si>
  <si>
    <t>EMRE ÖREN</t>
  </si>
  <si>
    <t>ADANA GSİM</t>
  </si>
  <si>
    <t>T</t>
  </si>
  <si>
    <t>ATİLLA MURATOĞLU</t>
  </si>
  <si>
    <t>ŞAHİN BALKIŞ</t>
  </si>
  <si>
    <t>ANIL ÖZÇELİK</t>
  </si>
  <si>
    <t>HATAY-B.ŞHR.BLD.GSK.</t>
  </si>
  <si>
    <t>MUHAMMED MUSTAFA HELVACI</t>
  </si>
  <si>
    <t>AHMET ÖZÇELİK</t>
  </si>
  <si>
    <t>GÜRSEL VELİECEOĞLU</t>
  </si>
  <si>
    <t>YUNUS EMRE YILMAZ</t>
  </si>
  <si>
    <t>NİĞDE-NİĞDE GÜCÜ SK.</t>
  </si>
  <si>
    <t>MÜCAHİT KARABACAK</t>
  </si>
  <si>
    <t>AHMET IŞIK</t>
  </si>
  <si>
    <t>MEHMET TOSUN</t>
  </si>
  <si>
    <t>OSMANİYE - GENÇLİK SPOR KÜLÜBÜ</t>
  </si>
  <si>
    <t>MEHMET ŞENOL</t>
  </si>
  <si>
    <t>AKİF KARA</t>
  </si>
  <si>
    <t>İSA SAVAŞ</t>
  </si>
  <si>
    <t>EMRE GÜZEL</t>
  </si>
  <si>
    <t>Küçükler ve Yıldızlar Bölgesel Kros Ligi 3.Kademe Yarışmaları</t>
  </si>
  <si>
    <t>Aksaray</t>
  </si>
  <si>
    <t>HÜSEYİN MUTLU</t>
  </si>
  <si>
    <t>HATAY</t>
  </si>
  <si>
    <t>F</t>
  </si>
  <si>
    <t>İBRAHİM ŞİRİN</t>
  </si>
  <si>
    <t>KADİR EŞREF KARAASLAN</t>
  </si>
  <si>
    <t>MERSİN</t>
  </si>
  <si>
    <t>MEHMET CAVDAR</t>
  </si>
</sst>
</file>

<file path=xl/styles.xml><?xml version="1.0" encoding="utf-8"?>
<styleSheet xmlns="http://schemas.openxmlformats.org/spreadsheetml/2006/main">
  <numFmts count="3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0\:00"/>
  </numFmts>
  <fonts count="70">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i/>
      <sz val="18"/>
      <color indexed="10"/>
      <name val="Cambria"/>
      <family val="1"/>
    </font>
    <font>
      <b/>
      <i/>
      <sz val="9"/>
      <name val="Cambria"/>
      <family val="1"/>
    </font>
    <font>
      <b/>
      <i/>
      <sz val="8"/>
      <name val="Cambria"/>
      <family val="1"/>
    </font>
    <font>
      <b/>
      <i/>
      <sz val="12"/>
      <name val="Cambria"/>
      <family val="1"/>
    </font>
    <font>
      <b/>
      <sz val="14"/>
      <name val="Arial Tur"/>
      <family val="0"/>
    </font>
    <font>
      <b/>
      <sz val="10"/>
      <name val="Arial Tur"/>
      <family val="0"/>
    </font>
    <font>
      <b/>
      <sz val="16"/>
      <name val="Arial Tur"/>
      <family val="0"/>
    </font>
    <font>
      <u val="single"/>
      <sz val="10"/>
      <name val="Arial Tur"/>
      <family val="0"/>
    </font>
    <font>
      <b/>
      <u val="single"/>
      <sz val="10"/>
      <name val="Arial Tur"/>
      <family val="0"/>
    </font>
    <font>
      <sz val="10"/>
      <name val="Cambria"/>
      <family val="1"/>
    </font>
    <font>
      <sz val="10"/>
      <color indexed="9"/>
      <name val="Cambria"/>
      <family val="1"/>
    </font>
    <font>
      <b/>
      <sz val="10"/>
      <name val="Cambria"/>
      <family val="1"/>
    </font>
    <font>
      <sz val="10"/>
      <color indexed="8"/>
      <name val="Cambria"/>
      <family val="1"/>
    </font>
    <font>
      <b/>
      <sz val="10"/>
      <color indexed="10"/>
      <name val="Cambria"/>
      <family val="1"/>
    </font>
    <font>
      <b/>
      <sz val="12"/>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1"/>
      <color indexed="10"/>
      <name val="Cambria"/>
      <family val="1"/>
    </font>
    <font>
      <b/>
      <sz val="11"/>
      <color indexed="30"/>
      <name val="Cambria"/>
      <family val="1"/>
    </font>
    <font>
      <b/>
      <sz val="10"/>
      <color indexed="30"/>
      <name val="Cambria"/>
      <family val="1"/>
    </font>
    <font>
      <b/>
      <sz val="8"/>
      <name val="Cambria"/>
      <family val="1"/>
    </font>
    <font>
      <sz val="11"/>
      <name val="Cambria"/>
      <family val="1"/>
    </font>
    <font>
      <b/>
      <sz val="10"/>
      <color indexed="36"/>
      <name val="Cambria"/>
      <family val="1"/>
    </font>
    <font>
      <b/>
      <i/>
      <sz val="11"/>
      <color indexed="30"/>
      <name val="Cambria"/>
      <family val="1"/>
    </font>
    <font>
      <b/>
      <sz val="11"/>
      <color indexed="8"/>
      <name val="Cambria"/>
      <family val="1"/>
    </font>
    <font>
      <b/>
      <i/>
      <sz val="12"/>
      <color indexed="30"/>
      <name val="Cambria"/>
      <family val="1"/>
    </font>
    <font>
      <b/>
      <i/>
      <sz val="12"/>
      <color indexed="8"/>
      <name val="Cambria"/>
      <family val="1"/>
    </font>
    <font>
      <b/>
      <sz val="12"/>
      <color indexed="10"/>
      <name val="Cambria"/>
      <family val="1"/>
    </font>
    <font>
      <b/>
      <sz val="12"/>
      <color indexed="8"/>
      <name val="Cambria"/>
      <family val="1"/>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1"/>
      <color rgb="FFFF0000"/>
      <name val="Cambria"/>
      <family val="1"/>
    </font>
    <font>
      <b/>
      <sz val="11"/>
      <color rgb="FF0070C0"/>
      <name val="Cambria"/>
      <family val="1"/>
    </font>
    <font>
      <b/>
      <sz val="10"/>
      <color rgb="FF0070C0"/>
      <name val="Cambria"/>
      <family val="1"/>
    </font>
    <font>
      <b/>
      <sz val="10"/>
      <color rgb="FF7030A0"/>
      <name val="Cambria"/>
      <family val="1"/>
    </font>
    <font>
      <b/>
      <i/>
      <sz val="11"/>
      <color rgb="FF0070C0"/>
      <name val="Cambria"/>
      <family val="1"/>
    </font>
    <font>
      <sz val="10"/>
      <color theme="1"/>
      <name val="Cambria"/>
      <family val="1"/>
    </font>
    <font>
      <b/>
      <sz val="11"/>
      <color theme="1"/>
      <name val="Cambria"/>
      <family val="1"/>
    </font>
    <font>
      <b/>
      <i/>
      <sz val="12"/>
      <color rgb="FF0070C0"/>
      <name val="Cambria"/>
      <family val="1"/>
    </font>
    <font>
      <b/>
      <i/>
      <sz val="12"/>
      <color theme="1"/>
      <name val="Cambria"/>
      <family val="1"/>
    </font>
    <font>
      <b/>
      <sz val="12"/>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D9FFFF"/>
        <bgColor indexed="64"/>
      </patternFill>
    </fill>
    <fill>
      <patternFill patternType="solid">
        <fgColor rgb="FFC1FFFF"/>
        <bgColor indexed="64"/>
      </patternFill>
    </fill>
    <fill>
      <patternFill patternType="solid">
        <fgColor theme="8" tint="0.5999900102615356"/>
        <bgColor indexed="64"/>
      </patternFill>
    </fill>
    <fill>
      <patternFill patternType="solid">
        <fgColor rgb="FFEBFFFF"/>
        <bgColor indexed="64"/>
      </patternFill>
    </fill>
    <fill>
      <patternFill patternType="solid">
        <fgColor rgb="FFFFFF00"/>
        <bgColor indexed="64"/>
      </patternFill>
    </fill>
    <fill>
      <patternFill patternType="solid">
        <fgColor rgb="FFFFFFCC"/>
        <bgColor indexed="64"/>
      </patternFill>
    </fill>
  </fills>
  <borders count="80">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top/>
      <bottom style="thin"/>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style="hair"/>
      <right/>
      <top style="thin"/>
      <bottom/>
    </border>
    <border>
      <left style="hair"/>
      <right/>
      <top/>
      <bottom/>
    </border>
    <border>
      <left style="hair"/>
      <right/>
      <top/>
      <bottom style="thin"/>
    </border>
    <border>
      <left/>
      <right/>
      <top style="thin"/>
      <bottom style="thin"/>
    </border>
    <border>
      <left/>
      <right style="thin"/>
      <top style="thin"/>
      <bottom style="thin"/>
    </border>
    <border>
      <left/>
      <right style="thin"/>
      <top/>
      <bottom style="hair"/>
    </border>
    <border>
      <left style="thin"/>
      <right style="thin"/>
      <top/>
      <bottom style="hair"/>
    </border>
    <border>
      <left style="thin"/>
      <right style="thin"/>
      <top style="medium"/>
      <bottom style="hair"/>
    </border>
    <border>
      <left/>
      <right style="thin"/>
      <top style="medium"/>
      <bottom style="hair"/>
    </border>
    <border>
      <left style="thin"/>
      <right style="thin"/>
      <top style="hair"/>
      <bottom style="medium"/>
    </border>
    <border>
      <left/>
      <right style="medium"/>
      <top style="dashDot"/>
      <bottom style="dashDot"/>
    </border>
    <border>
      <left style="dashDot"/>
      <right/>
      <top style="dashDot"/>
      <bottom style="dashDot"/>
    </border>
    <border>
      <left style="medium"/>
      <right style="thin"/>
      <top style="thin"/>
      <bottom style="thin"/>
    </border>
    <border>
      <left style="thin"/>
      <right style="medium"/>
      <top style="thin"/>
      <bottom style="thin"/>
    </border>
    <border>
      <left style="medium"/>
      <right style="thin"/>
      <top/>
      <bottom style="hair"/>
    </border>
    <border>
      <left/>
      <right style="medium"/>
      <top style="medium"/>
      <bottom style="hair"/>
    </border>
    <border>
      <left style="medium"/>
      <right style="thin"/>
      <top style="hair"/>
      <bottom style="hair"/>
    </border>
    <border>
      <left/>
      <right style="medium"/>
      <top style="hair"/>
      <bottom style="hair"/>
    </border>
    <border>
      <left/>
      <right style="medium"/>
      <top style="hair"/>
      <bottom style="medium"/>
    </border>
    <border>
      <left style="medium"/>
      <right style="thin"/>
      <top style="hair"/>
      <bottom style="medium"/>
    </border>
    <border>
      <left/>
      <right style="medium"/>
      <top style="thin"/>
      <bottom style="thin"/>
    </border>
    <border>
      <left/>
      <right style="medium"/>
      <top/>
      <bottom style="hair"/>
    </border>
    <border>
      <left style="hair"/>
      <right style="hair"/>
      <top>
        <color indexed="63"/>
      </top>
      <bottom style="hair"/>
    </border>
    <border>
      <left style="hair"/>
      <right style="thin"/>
      <top>
        <color indexed="63"/>
      </top>
      <bottom style="hair"/>
    </border>
    <border>
      <left style="medium"/>
      <right style="hair"/>
      <top style="thin"/>
      <bottom style="thin"/>
    </border>
    <border>
      <left style="hair"/>
      <right style="medium"/>
      <top style="thin"/>
      <bottom style="thin"/>
    </border>
    <border>
      <left style="medium"/>
      <right style="hair"/>
      <top style="thin"/>
      <bottom/>
    </border>
    <border>
      <left style="hair"/>
      <right style="medium"/>
      <top style="thin"/>
      <bottom/>
    </border>
    <border>
      <left style="medium"/>
      <right style="hair"/>
      <top/>
      <bottom/>
    </border>
    <border>
      <left style="hair"/>
      <right style="medium"/>
      <top/>
      <bottom/>
    </border>
    <border>
      <left style="medium"/>
      <right style="hair"/>
      <top/>
      <bottom style="medium"/>
    </border>
    <border>
      <left style="hair"/>
      <right style="hair"/>
      <top/>
      <bottom style="medium"/>
    </border>
    <border>
      <left style="hair"/>
      <right style="hair"/>
      <top style="hair"/>
      <bottom style="medium"/>
    </border>
    <border>
      <left style="hair"/>
      <right style="thin"/>
      <top style="hair"/>
      <bottom style="medium"/>
    </border>
    <border>
      <left style="hair"/>
      <right/>
      <top/>
      <bottom style="medium"/>
    </border>
    <border>
      <left style="hair"/>
      <right style="medium"/>
      <top/>
      <bottom style="medium"/>
    </border>
    <border>
      <left style="medium"/>
      <right/>
      <top style="medium"/>
      <bottom/>
    </border>
    <border>
      <left/>
      <right/>
      <top style="medium"/>
      <bottom/>
    </border>
    <border>
      <left/>
      <right style="medium"/>
      <top style="medium"/>
      <bottom/>
    </border>
    <border>
      <left/>
      <right style="medium"/>
      <top/>
      <bottom style="thin"/>
    </border>
    <border>
      <left style="medium"/>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302">
    <xf numFmtId="0" fontId="0" fillId="0" borderId="0" xfId="0" applyAlignment="1">
      <alignment/>
    </xf>
    <xf numFmtId="0" fontId="29" fillId="0" borderId="0" xfId="0" applyFont="1" applyAlignment="1" applyProtection="1">
      <alignment horizontal="center" vertical="center"/>
      <protection hidden="1"/>
    </xf>
    <xf numFmtId="0" fontId="53" fillId="0" borderId="0" xfId="0" applyFont="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0" xfId="0" applyFont="1" applyBorder="1" applyAlignment="1" applyProtection="1">
      <alignment horizontal="center" vertical="center" wrapText="1"/>
      <protection hidden="1"/>
    </xf>
    <xf numFmtId="0" fontId="53"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29" fillId="25" borderId="11"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center" vertical="center"/>
      <protection hidden="1"/>
    </xf>
    <xf numFmtId="0" fontId="29" fillId="24" borderId="12" xfId="0" applyNumberFormat="1" applyFont="1" applyFill="1" applyBorder="1" applyAlignment="1" applyProtection="1">
      <alignment horizontal="center" vertical="center"/>
      <protection hidden="1"/>
    </xf>
    <xf numFmtId="0" fontId="29"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29" fillId="25" borderId="15"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center" vertical="center"/>
      <protection hidden="1"/>
    </xf>
    <xf numFmtId="0" fontId="29" fillId="24" borderId="16" xfId="0" applyNumberFormat="1" applyFont="1" applyFill="1" applyBorder="1" applyAlignment="1" applyProtection="1">
      <alignment horizontal="center" vertical="center"/>
      <protection hidden="1"/>
    </xf>
    <xf numFmtId="0" fontId="29"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29"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29" fillId="25" borderId="19"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center" vertical="center"/>
      <protection hidden="1"/>
    </xf>
    <xf numFmtId="0" fontId="29"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3" fillId="0" borderId="0" xfId="0" applyFont="1" applyAlignment="1" applyProtection="1">
      <alignment horizontal="center" vertical="center" wrapText="1"/>
      <protection hidden="1"/>
    </xf>
    <xf numFmtId="0" fontId="29" fillId="0" borderId="0" xfId="0" applyFont="1" applyAlignment="1">
      <alignment vertical="center"/>
    </xf>
    <xf numFmtId="0" fontId="29" fillId="0" borderId="0" xfId="0" applyFont="1" applyAlignment="1">
      <alignment horizontal="center" vertical="center"/>
    </xf>
    <xf numFmtId="180" fontId="29" fillId="0" borderId="0" xfId="0" applyNumberFormat="1" applyFont="1" applyAlignment="1">
      <alignment vertical="center"/>
    </xf>
    <xf numFmtId="0" fontId="29" fillId="0" borderId="0" xfId="0" applyFont="1" applyBorder="1" applyAlignment="1">
      <alignment vertical="center" wrapText="1"/>
    </xf>
    <xf numFmtId="0" fontId="29" fillId="0" borderId="0" xfId="0" applyFont="1" applyBorder="1" applyAlignment="1">
      <alignment/>
    </xf>
    <xf numFmtId="0" fontId="32" fillId="24" borderId="22" xfId="0" applyFont="1" applyFill="1" applyBorder="1" applyAlignment="1" applyProtection="1">
      <alignment horizontal="center" vertical="center"/>
      <protection hidden="1"/>
    </xf>
    <xf numFmtId="0" fontId="29" fillId="24" borderId="23" xfId="0" applyFont="1" applyFill="1" applyBorder="1" applyAlignment="1" applyProtection="1">
      <alignment horizontal="left" vertical="center" shrinkToFit="1"/>
      <protection hidden="1"/>
    </xf>
    <xf numFmtId="0" fontId="29" fillId="24" borderId="23" xfId="0" applyFont="1" applyFill="1" applyBorder="1" applyAlignment="1" applyProtection="1">
      <alignment horizontal="center" vertical="center"/>
      <protection hidden="1"/>
    </xf>
    <xf numFmtId="14" fontId="29" fillId="24" borderId="23" xfId="0" applyNumberFormat="1" applyFont="1" applyFill="1" applyBorder="1" applyAlignment="1" applyProtection="1">
      <alignment horizontal="center" vertical="center"/>
      <protection hidden="1"/>
    </xf>
    <xf numFmtId="0" fontId="29" fillId="0" borderId="0" xfId="0" applyFont="1" applyAlignment="1">
      <alignment horizontal="left" vertical="center"/>
    </xf>
    <xf numFmtId="184" fontId="54" fillId="26" borderId="24" xfId="0" applyNumberFormat="1" applyFont="1" applyFill="1" applyBorder="1" applyAlignment="1">
      <alignment vertical="center"/>
    </xf>
    <xf numFmtId="181" fontId="54" fillId="26" borderId="24" xfId="0" applyNumberFormat="1" applyFont="1" applyFill="1" applyBorder="1" applyAlignment="1" applyProtection="1">
      <alignment vertical="center"/>
      <protection hidden="1"/>
    </xf>
    <xf numFmtId="0" fontId="29" fillId="24" borderId="13" xfId="0" applyNumberFormat="1" applyFont="1" applyFill="1" applyBorder="1" applyAlignment="1" applyProtection="1">
      <alignment horizontal="center" vertical="center"/>
      <protection hidden="1"/>
    </xf>
    <xf numFmtId="0" fontId="29" fillId="24" borderId="17" xfId="0" applyNumberFormat="1" applyFont="1" applyFill="1" applyBorder="1" applyAlignment="1" applyProtection="1">
      <alignment horizontal="center" vertical="center"/>
      <protection hidden="1"/>
    </xf>
    <xf numFmtId="0" fontId="34" fillId="24" borderId="14" xfId="0" applyFont="1" applyFill="1" applyBorder="1" applyAlignment="1" applyProtection="1">
      <alignment horizontal="center" vertical="center"/>
      <protection hidden="1"/>
    </xf>
    <xf numFmtId="0" fontId="29" fillId="0" borderId="0" xfId="0" applyFont="1" applyFill="1" applyAlignment="1">
      <alignment vertical="center"/>
    </xf>
    <xf numFmtId="184" fontId="54" fillId="26" borderId="0" xfId="0" applyNumberFormat="1" applyFont="1" applyFill="1" applyBorder="1" applyAlignment="1">
      <alignment horizontal="left" vertical="center"/>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22" xfId="0" applyFont="1" applyFill="1" applyBorder="1" applyAlignment="1">
      <alignment horizontal="center" vertical="center"/>
    </xf>
    <xf numFmtId="0" fontId="29" fillId="0" borderId="23" xfId="0" applyFont="1" applyFill="1" applyBorder="1" applyAlignment="1">
      <alignment horizontal="left" vertical="center"/>
    </xf>
    <xf numFmtId="0" fontId="29" fillId="0" borderId="23" xfId="0" applyFont="1" applyFill="1" applyBorder="1" applyAlignment="1">
      <alignment horizontal="center" vertical="center" wrapText="1"/>
    </xf>
    <xf numFmtId="14" fontId="29" fillId="0" borderId="23" xfId="0" applyNumberFormat="1" applyFont="1" applyFill="1" applyBorder="1" applyAlignment="1">
      <alignment horizontal="center" vertical="center"/>
    </xf>
    <xf numFmtId="0" fontId="29" fillId="0" borderId="25" xfId="0" applyFont="1" applyFill="1" applyBorder="1" applyAlignment="1">
      <alignment horizontal="left" vertical="center"/>
    </xf>
    <xf numFmtId="0" fontId="29" fillId="0" borderId="25" xfId="0" applyFont="1" applyFill="1" applyBorder="1" applyAlignment="1">
      <alignment horizontal="center" vertical="center" wrapText="1"/>
    </xf>
    <xf numFmtId="14" fontId="29" fillId="0" borderId="25" xfId="0" applyNumberFormat="1"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left" vertical="center"/>
    </xf>
    <xf numFmtId="14" fontId="29" fillId="0" borderId="0" xfId="0" applyNumberFormat="1" applyFont="1" applyFill="1" applyAlignment="1">
      <alignment horizontal="center" vertical="center"/>
    </xf>
    <xf numFmtId="0" fontId="34"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20" fillId="27" borderId="26" xfId="0" applyFont="1" applyFill="1" applyBorder="1" applyAlignment="1" applyProtection="1">
      <alignment vertical="center"/>
      <protection hidden="1"/>
    </xf>
    <xf numFmtId="0" fontId="20" fillId="27" borderId="0" xfId="0" applyFont="1" applyFill="1" applyBorder="1" applyAlignment="1" applyProtection="1">
      <alignment vertical="center"/>
      <protection hidden="1"/>
    </xf>
    <xf numFmtId="0" fontId="20" fillId="27" borderId="27"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55" fillId="27" borderId="26" xfId="0" applyFont="1" applyFill="1" applyBorder="1" applyAlignment="1" applyProtection="1">
      <alignment vertical="center"/>
      <protection hidden="1"/>
    </xf>
    <xf numFmtId="0" fontId="56" fillId="27" borderId="0" xfId="0" applyFont="1" applyFill="1" applyBorder="1" applyAlignment="1" applyProtection="1">
      <alignment horizontal="center" vertical="center"/>
      <protection hidden="1"/>
    </xf>
    <xf numFmtId="0" fontId="55" fillId="27" borderId="27" xfId="0" applyFont="1" applyFill="1" applyBorder="1" applyAlignment="1" applyProtection="1">
      <alignment vertical="center"/>
      <protection hidden="1"/>
    </xf>
    <xf numFmtId="0" fontId="20" fillId="27" borderId="0" xfId="0" applyFont="1" applyFill="1" applyBorder="1" applyAlignment="1" applyProtection="1">
      <alignment horizontal="center" vertical="center"/>
      <protection hidden="1"/>
    </xf>
    <xf numFmtId="0" fontId="20" fillId="27" borderId="28" xfId="0" applyFont="1" applyFill="1" applyBorder="1" applyAlignment="1" applyProtection="1">
      <alignment vertical="center"/>
      <protection hidden="1"/>
    </xf>
    <xf numFmtId="0" fontId="20" fillId="27" borderId="29" xfId="0" applyFont="1" applyFill="1" applyBorder="1" applyAlignment="1" applyProtection="1">
      <alignment vertical="center"/>
      <protection hidden="1"/>
    </xf>
    <xf numFmtId="0" fontId="20" fillId="27" borderId="30" xfId="0" applyFont="1" applyFill="1" applyBorder="1" applyAlignment="1" applyProtection="1">
      <alignment vertical="center"/>
      <protection hidden="1"/>
    </xf>
    <xf numFmtId="0" fontId="57" fillId="28" borderId="26" xfId="0" applyFont="1" applyFill="1" applyBorder="1" applyAlignment="1" applyProtection="1">
      <alignment horizontal="right" vertical="center" wrapText="1"/>
      <protection hidden="1"/>
    </xf>
    <xf numFmtId="0" fontId="57" fillId="28" borderId="26" xfId="0" applyFont="1" applyFill="1" applyBorder="1" applyAlignment="1" applyProtection="1">
      <alignment horizontal="right" vertical="center"/>
      <protection hidden="1"/>
    </xf>
    <xf numFmtId="0" fontId="57" fillId="28" borderId="28" xfId="0" applyFont="1" applyFill="1" applyBorder="1" applyAlignment="1" applyProtection="1">
      <alignment horizontal="right" vertical="center" wrapText="1"/>
      <protection hidden="1"/>
    </xf>
    <xf numFmtId="0" fontId="58" fillId="27" borderId="26" xfId="0" applyFont="1" applyFill="1" applyBorder="1" applyAlignment="1" applyProtection="1">
      <alignment horizontal="right" vertical="center" wrapText="1"/>
      <protection hidden="1"/>
    </xf>
    <xf numFmtId="181" fontId="59" fillId="27" borderId="0" xfId="0" applyNumberFormat="1" applyFont="1" applyFill="1" applyBorder="1" applyAlignment="1" applyProtection="1">
      <alignment horizontal="left" vertical="center" wrapText="1"/>
      <protection hidden="1"/>
    </xf>
    <xf numFmtId="181" fontId="59" fillId="27" borderId="27" xfId="0" applyNumberFormat="1" applyFont="1" applyFill="1" applyBorder="1" applyAlignment="1" applyProtection="1">
      <alignment horizontal="left" vertical="center" wrapText="1"/>
      <protection hidden="1"/>
    </xf>
    <xf numFmtId="0" fontId="21" fillId="27" borderId="31" xfId="0" applyFont="1" applyFill="1" applyBorder="1" applyAlignment="1" applyProtection="1">
      <alignment horizontal="left" vertical="center"/>
      <protection hidden="1"/>
    </xf>
    <xf numFmtId="0" fontId="21" fillId="27" borderId="32" xfId="0" applyFont="1" applyFill="1" applyBorder="1" applyAlignment="1" applyProtection="1">
      <alignment vertical="center" wrapText="1"/>
      <protection hidden="1"/>
    </xf>
    <xf numFmtId="0" fontId="22" fillId="27" borderId="33" xfId="0" applyFont="1" applyFill="1" applyBorder="1" applyAlignment="1" applyProtection="1">
      <alignment vertical="center"/>
      <protection hidden="1"/>
    </xf>
    <xf numFmtId="186" fontId="29" fillId="0" borderId="0" xfId="0" applyNumberFormat="1" applyFont="1" applyAlignment="1">
      <alignment horizontal="center" vertical="center"/>
    </xf>
    <xf numFmtId="0" fontId="24" fillId="29" borderId="34" xfId="0" applyFont="1" applyFill="1" applyBorder="1" applyAlignment="1">
      <alignment horizontal="center" vertical="center" wrapText="1"/>
    </xf>
    <xf numFmtId="0" fontId="0" fillId="0" borderId="34" xfId="0" applyBorder="1" applyAlignment="1">
      <alignment vertical="center" wrapText="1"/>
    </xf>
    <xf numFmtId="0" fontId="0" fillId="0" borderId="34" xfId="0" applyBorder="1" applyAlignment="1">
      <alignment horizontal="center" vertical="center" wrapText="1"/>
    </xf>
    <xf numFmtId="181" fontId="54" fillId="30" borderId="24" xfId="0" applyNumberFormat="1" applyFont="1" applyFill="1" applyBorder="1" applyAlignment="1" applyProtection="1">
      <alignment vertical="center"/>
      <protection hidden="1"/>
    </xf>
    <xf numFmtId="0" fontId="31" fillId="29" borderId="35" xfId="0" applyFont="1" applyFill="1" applyBorder="1" applyAlignment="1" applyProtection="1">
      <alignment horizontal="center" vertical="center" wrapText="1"/>
      <protection hidden="1"/>
    </xf>
    <xf numFmtId="0" fontId="31" fillId="29" borderId="36" xfId="0" applyFont="1" applyFill="1" applyBorder="1" applyAlignment="1" applyProtection="1">
      <alignment horizontal="center" vertical="center" wrapText="1"/>
      <protection hidden="1"/>
    </xf>
    <xf numFmtId="14" fontId="31" fillId="29" borderId="36" xfId="0" applyNumberFormat="1" applyFont="1" applyFill="1" applyBorder="1" applyAlignment="1" applyProtection="1">
      <alignment horizontal="center" vertical="center" wrapText="1"/>
      <protection hidden="1"/>
    </xf>
    <xf numFmtId="187" fontId="31" fillId="29" borderId="36" xfId="0" applyNumberFormat="1" applyFont="1" applyFill="1" applyBorder="1" applyAlignment="1" applyProtection="1">
      <alignment horizontal="center" vertical="center" wrapText="1"/>
      <protection hidden="1"/>
    </xf>
    <xf numFmtId="0" fontId="31" fillId="29" borderId="37" xfId="0" applyFont="1" applyFill="1" applyBorder="1" applyAlignment="1" applyProtection="1">
      <alignment horizontal="center" vertical="center" wrapText="1"/>
      <protection hidden="1"/>
    </xf>
    <xf numFmtId="0" fontId="31" fillId="29" borderId="38" xfId="0" applyFont="1" applyFill="1" applyBorder="1" applyAlignment="1" applyProtection="1">
      <alignment horizontal="center" vertical="center" textRotation="90" wrapText="1"/>
      <protection hidden="1"/>
    </xf>
    <xf numFmtId="1" fontId="54" fillId="24" borderId="12" xfId="0" applyNumberFormat="1" applyFont="1" applyFill="1" applyBorder="1" applyAlignment="1" applyProtection="1">
      <alignment horizontal="center" vertical="center"/>
      <protection hidden="1"/>
    </xf>
    <xf numFmtId="1" fontId="54" fillId="24" borderId="16" xfId="0" applyNumberFormat="1" applyFont="1" applyFill="1" applyBorder="1" applyAlignment="1" applyProtection="1">
      <alignment horizontal="center" vertical="center"/>
      <protection hidden="1"/>
    </xf>
    <xf numFmtId="0" fontId="29" fillId="24" borderId="39" xfId="0" applyFont="1" applyFill="1" applyBorder="1" applyAlignment="1" applyProtection="1">
      <alignment horizontal="center" vertical="center"/>
      <protection hidden="1"/>
    </xf>
    <xf numFmtId="0" fontId="29" fillId="24" borderId="40" xfId="0" applyFont="1" applyFill="1" applyBorder="1" applyAlignment="1" applyProtection="1">
      <alignment horizontal="center" vertical="center"/>
      <protection hidden="1"/>
    </xf>
    <xf numFmtId="1" fontId="54" fillId="24" borderId="20" xfId="0" applyNumberFormat="1" applyFont="1" applyFill="1" applyBorder="1" applyAlignment="1" applyProtection="1">
      <alignment horizontal="center" vertical="center"/>
      <protection hidden="1"/>
    </xf>
    <xf numFmtId="0" fontId="29" fillId="24" borderId="41" xfId="0" applyFont="1" applyFill="1" applyBorder="1" applyAlignment="1" applyProtection="1">
      <alignment horizontal="center" vertical="center"/>
      <protection hidden="1"/>
    </xf>
    <xf numFmtId="0" fontId="34" fillId="31" borderId="14" xfId="0" applyFont="1" applyFill="1" applyBorder="1" applyAlignment="1" applyProtection="1" quotePrefix="1">
      <alignment horizontal="center" vertical="center"/>
      <protection locked="0"/>
    </xf>
    <xf numFmtId="0" fontId="60" fillId="32" borderId="23" xfId="0" applyFont="1" applyFill="1" applyBorder="1" applyAlignment="1" applyProtection="1">
      <alignment horizontal="center" vertical="center"/>
      <protection locked="0"/>
    </xf>
    <xf numFmtId="187" fontId="61" fillId="32" borderId="23" xfId="0" applyNumberFormat="1" applyFont="1" applyFill="1" applyBorder="1" applyAlignment="1" applyProtection="1">
      <alignment horizontal="center" vertical="center"/>
      <protection locked="0"/>
    </xf>
    <xf numFmtId="187" fontId="29" fillId="0" borderId="0" xfId="0" applyNumberFormat="1" applyFont="1" applyAlignment="1" applyProtection="1">
      <alignment horizontal="center" vertical="center" wrapText="1"/>
      <protection hidden="1"/>
    </xf>
    <xf numFmtId="187" fontId="62" fillId="24" borderId="12" xfId="0" applyNumberFormat="1" applyFont="1" applyFill="1" applyBorder="1" applyAlignment="1" applyProtection="1">
      <alignment horizontal="center" vertical="center"/>
      <protection hidden="1"/>
    </xf>
    <xf numFmtId="187" fontId="62" fillId="24" borderId="16" xfId="0" applyNumberFormat="1" applyFont="1" applyFill="1" applyBorder="1" applyAlignment="1" applyProtection="1">
      <alignment horizontal="center" vertical="center"/>
      <protection hidden="1"/>
    </xf>
    <xf numFmtId="187" fontId="62" fillId="24" borderId="20" xfId="0" applyNumberFormat="1" applyFont="1" applyFill="1" applyBorder="1" applyAlignment="1" applyProtection="1">
      <alignment horizontal="center" vertical="center"/>
      <protection hidden="1"/>
    </xf>
    <xf numFmtId="1" fontId="54" fillId="31" borderId="12" xfId="0" applyNumberFormat="1" applyFont="1" applyFill="1" applyBorder="1" applyAlignment="1" applyProtection="1">
      <alignment horizontal="center" vertical="center"/>
      <protection locked="0"/>
    </xf>
    <xf numFmtId="1" fontId="54" fillId="31" borderId="16" xfId="0" applyNumberFormat="1" applyFont="1" applyFill="1" applyBorder="1" applyAlignment="1" applyProtection="1">
      <alignment horizontal="center" vertical="center"/>
      <protection locked="0"/>
    </xf>
    <xf numFmtId="1" fontId="34" fillId="24" borderId="15" xfId="0" applyNumberFormat="1" applyFont="1" applyFill="1" applyBorder="1" applyAlignment="1" applyProtection="1" quotePrefix="1">
      <alignment horizontal="center" vertical="center"/>
      <protection hidden="1"/>
    </xf>
    <xf numFmtId="0" fontId="44" fillId="29" borderId="38" xfId="0" applyFont="1" applyFill="1" applyBorder="1" applyAlignment="1" applyProtection="1">
      <alignment horizontal="center" vertical="center" textRotation="90" wrapText="1"/>
      <protection hidden="1"/>
    </xf>
    <xf numFmtId="0" fontId="44" fillId="29" borderId="38" xfId="0" applyFont="1" applyFill="1" applyBorder="1" applyAlignment="1" applyProtection="1">
      <alignment horizontal="center" vertical="center" wrapText="1"/>
      <protection hidden="1"/>
    </xf>
    <xf numFmtId="0" fontId="31" fillId="29" borderId="34" xfId="0" applyFont="1" applyFill="1" applyBorder="1" applyAlignment="1">
      <alignment horizontal="center" vertical="center" wrapText="1"/>
    </xf>
    <xf numFmtId="0" fontId="31" fillId="29" borderId="42" xfId="0" applyFont="1" applyFill="1" applyBorder="1" applyAlignment="1">
      <alignment horizontal="center" vertical="center" wrapText="1"/>
    </xf>
    <xf numFmtId="0" fontId="31" fillId="29" borderId="43" xfId="0" applyFont="1" applyFill="1" applyBorder="1" applyAlignment="1">
      <alignment horizontal="center" vertical="center" wrapText="1"/>
    </xf>
    <xf numFmtId="14" fontId="31" fillId="29" borderId="43" xfId="0" applyNumberFormat="1" applyFont="1" applyFill="1" applyBorder="1" applyAlignment="1">
      <alignment horizontal="center" vertical="center" wrapText="1"/>
    </xf>
    <xf numFmtId="186" fontId="31" fillId="29" borderId="43" xfId="0" applyNumberFormat="1" applyFont="1" applyFill="1" applyBorder="1" applyAlignment="1">
      <alignment horizontal="center" vertical="center" wrapText="1"/>
    </xf>
    <xf numFmtId="0" fontId="35" fillId="24" borderId="10" xfId="0" applyFont="1" applyFill="1" applyBorder="1" applyAlignment="1" applyProtection="1">
      <alignment horizontal="center" vertical="center"/>
      <protection hidden="1"/>
    </xf>
    <xf numFmtId="0" fontId="45" fillId="25" borderId="11" xfId="0" applyFont="1" applyFill="1" applyBorder="1" applyAlignment="1" applyProtection="1">
      <alignment horizontal="left" vertical="center" shrinkToFit="1"/>
      <protection hidden="1"/>
    </xf>
    <xf numFmtId="1" fontId="60" fillId="24" borderId="12" xfId="0" applyNumberFormat="1" applyFont="1" applyFill="1" applyBorder="1" applyAlignment="1" applyProtection="1">
      <alignment horizontal="center" vertical="center"/>
      <protection hidden="1"/>
    </xf>
    <xf numFmtId="0" fontId="45" fillId="24" borderId="12" xfId="0" applyFont="1" applyFill="1" applyBorder="1" applyAlignment="1" applyProtection="1">
      <alignment horizontal="left" vertical="center" shrinkToFit="1"/>
      <protection hidden="1"/>
    </xf>
    <xf numFmtId="0" fontId="45" fillId="24" borderId="12" xfId="0" applyFont="1" applyFill="1" applyBorder="1" applyAlignment="1" applyProtection="1">
      <alignment horizontal="center" vertical="center"/>
      <protection hidden="1"/>
    </xf>
    <xf numFmtId="187" fontId="61" fillId="24" borderId="12" xfId="0" applyNumberFormat="1" applyFont="1" applyFill="1" applyBorder="1" applyAlignment="1" applyProtection="1">
      <alignment horizontal="center" vertical="center"/>
      <protection hidden="1"/>
    </xf>
    <xf numFmtId="0" fontId="45" fillId="24" borderId="13" xfId="0" applyNumberFormat="1" applyFont="1" applyFill="1" applyBorder="1" applyAlignment="1" applyProtection="1">
      <alignment horizontal="center" vertical="center"/>
      <protection hidden="1"/>
    </xf>
    <xf numFmtId="0" fontId="35" fillId="24" borderId="14" xfId="0" applyFont="1" applyFill="1" applyBorder="1" applyAlignment="1" applyProtection="1">
      <alignment horizontal="center" vertical="center"/>
      <protection hidden="1"/>
    </xf>
    <xf numFmtId="0" fontId="45" fillId="25" borderId="15" xfId="0" applyFont="1" applyFill="1" applyBorder="1" applyAlignment="1" applyProtection="1">
      <alignment horizontal="left" vertical="center" shrinkToFit="1"/>
      <protection hidden="1"/>
    </xf>
    <xf numFmtId="1" fontId="60" fillId="24" borderId="16" xfId="0" applyNumberFormat="1" applyFont="1" applyFill="1" applyBorder="1" applyAlignment="1" applyProtection="1">
      <alignment horizontal="center" vertical="center"/>
      <protection hidden="1"/>
    </xf>
    <xf numFmtId="0" fontId="45" fillId="24" borderId="16" xfId="0" applyFont="1" applyFill="1" applyBorder="1" applyAlignment="1" applyProtection="1">
      <alignment horizontal="left" vertical="center" shrinkToFit="1"/>
      <protection hidden="1"/>
    </xf>
    <xf numFmtId="0" fontId="45" fillId="24" borderId="16" xfId="0" applyFont="1" applyFill="1" applyBorder="1" applyAlignment="1" applyProtection="1">
      <alignment horizontal="center" vertical="center"/>
      <protection hidden="1"/>
    </xf>
    <xf numFmtId="187" fontId="61" fillId="24" borderId="16" xfId="0" applyNumberFormat="1" applyFont="1" applyFill="1" applyBorder="1" applyAlignment="1" applyProtection="1">
      <alignment horizontal="center" vertical="center"/>
      <protection hidden="1"/>
    </xf>
    <xf numFmtId="0" fontId="45" fillId="24" borderId="17" xfId="0" applyNumberFormat="1" applyFont="1" applyFill="1" applyBorder="1" applyAlignment="1" applyProtection="1">
      <alignment horizontal="center" vertical="center"/>
      <protection hidden="1"/>
    </xf>
    <xf numFmtId="0" fontId="29" fillId="24" borderId="39" xfId="0" applyFont="1" applyFill="1" applyBorder="1" applyAlignment="1" applyProtection="1">
      <alignment horizontal="center" vertical="center"/>
      <protection locked="0"/>
    </xf>
    <xf numFmtId="0" fontId="29" fillId="24" borderId="40" xfId="0" applyFont="1" applyFill="1" applyBorder="1" applyAlignment="1" applyProtection="1">
      <alignment horizontal="center" vertical="center"/>
      <protection locked="0"/>
    </xf>
    <xf numFmtId="0" fontId="29" fillId="24" borderId="41" xfId="0" applyFont="1" applyFill="1" applyBorder="1" applyAlignment="1" applyProtection="1">
      <alignment horizontal="center" vertical="center"/>
      <protection locked="0"/>
    </xf>
    <xf numFmtId="0" fontId="63" fillId="24" borderId="44" xfId="0" applyFont="1" applyFill="1" applyBorder="1" applyAlignment="1" applyProtection="1">
      <alignment horizontal="center" vertical="center"/>
      <protection hidden="1"/>
    </xf>
    <xf numFmtId="0" fontId="29" fillId="0" borderId="45" xfId="0" applyFont="1" applyFill="1" applyBorder="1" applyAlignment="1">
      <alignment horizontal="center" vertical="center"/>
    </xf>
    <xf numFmtId="0" fontId="54" fillId="0" borderId="46" xfId="0" applyFont="1" applyFill="1" applyBorder="1" applyAlignment="1">
      <alignment horizontal="center" vertical="center"/>
    </xf>
    <xf numFmtId="0" fontId="29" fillId="0" borderId="47" xfId="0" applyFont="1" applyFill="1" applyBorder="1" applyAlignment="1">
      <alignment horizontal="left" vertical="center"/>
    </xf>
    <xf numFmtId="0" fontId="29" fillId="0" borderId="47" xfId="0" applyFont="1" applyFill="1" applyBorder="1" applyAlignment="1">
      <alignment horizontal="center" vertical="center"/>
    </xf>
    <xf numFmtId="14" fontId="29" fillId="0" borderId="47" xfId="0" applyNumberFormat="1" applyFont="1" applyFill="1" applyBorder="1" applyAlignment="1">
      <alignment horizontal="center" vertical="center"/>
    </xf>
    <xf numFmtId="0" fontId="54" fillId="0" borderId="22" xfId="0" applyFont="1" applyFill="1" applyBorder="1" applyAlignment="1">
      <alignment horizontal="center" vertical="center"/>
    </xf>
    <xf numFmtId="0" fontId="54" fillId="0" borderId="48" xfId="0" applyFont="1" applyFill="1" applyBorder="1" applyAlignment="1">
      <alignment horizontal="center" vertical="center"/>
    </xf>
    <xf numFmtId="1" fontId="34" fillId="24" borderId="15" xfId="0" applyNumberFormat="1" applyFont="1" applyFill="1" applyBorder="1" applyAlignment="1" applyProtection="1">
      <alignment horizontal="center" vertical="center"/>
      <protection hidden="1"/>
    </xf>
    <xf numFmtId="184" fontId="64" fillId="28" borderId="49" xfId="0" applyNumberFormat="1" applyFont="1" applyFill="1" applyBorder="1" applyAlignment="1" applyProtection="1">
      <alignment vertical="center" wrapText="1"/>
      <protection locked="0"/>
    </xf>
    <xf numFmtId="0" fontId="61" fillId="28" borderId="50" xfId="0" applyNumberFormat="1" applyFont="1" applyFill="1" applyBorder="1" applyAlignment="1" applyProtection="1">
      <alignment horizontal="left" vertical="center" wrapText="1"/>
      <protection locked="0"/>
    </xf>
    <xf numFmtId="1" fontId="31" fillId="24" borderId="11" xfId="0" applyNumberFormat="1" applyFont="1" applyFill="1" applyBorder="1" applyAlignment="1" applyProtection="1">
      <alignment horizontal="center" vertical="center"/>
      <protection hidden="1"/>
    </xf>
    <xf numFmtId="1" fontId="31" fillId="24" borderId="15" xfId="0" applyNumberFormat="1" applyFont="1" applyFill="1" applyBorder="1" applyAlignment="1" applyProtection="1">
      <alignment horizontal="center" vertical="center"/>
      <protection hidden="1"/>
    </xf>
    <xf numFmtId="1" fontId="31" fillId="24" borderId="19" xfId="0" applyNumberFormat="1" applyFont="1" applyFill="1" applyBorder="1" applyAlignment="1" applyProtection="1">
      <alignment horizontal="center" vertical="center"/>
      <protection hidden="1"/>
    </xf>
    <xf numFmtId="1" fontId="31" fillId="0" borderId="0" xfId="0" applyNumberFormat="1" applyFont="1" applyAlignment="1" applyProtection="1">
      <alignment horizontal="center" vertical="center" wrapText="1"/>
      <protection hidden="1"/>
    </xf>
    <xf numFmtId="1" fontId="29" fillId="24" borderId="39" xfId="0" applyNumberFormat="1" applyFont="1" applyFill="1" applyBorder="1" applyAlignment="1" applyProtection="1">
      <alignment horizontal="center" vertical="center"/>
      <protection hidden="1"/>
    </xf>
    <xf numFmtId="1" fontId="29" fillId="24" borderId="40" xfId="0" applyNumberFormat="1" applyFont="1" applyFill="1" applyBorder="1" applyAlignment="1" applyProtection="1">
      <alignment horizontal="center" vertical="center"/>
      <protection hidden="1"/>
    </xf>
    <xf numFmtId="0" fontId="65" fillId="0" borderId="47" xfId="0" applyFont="1" applyFill="1" applyBorder="1" applyAlignment="1">
      <alignment horizontal="center" vertical="center"/>
    </xf>
    <xf numFmtId="0" fontId="65" fillId="0" borderId="23" xfId="0" applyFont="1" applyFill="1" applyBorder="1" applyAlignment="1">
      <alignment horizontal="center" vertical="center" wrapText="1"/>
    </xf>
    <xf numFmtId="0" fontId="65" fillId="0" borderId="25" xfId="0" applyFont="1" applyFill="1" applyBorder="1" applyAlignment="1">
      <alignment horizontal="center" vertical="center" wrapText="1"/>
    </xf>
    <xf numFmtId="184" fontId="54" fillId="26" borderId="24" xfId="0" applyNumberFormat="1" applyFont="1" applyFill="1" applyBorder="1" applyAlignment="1">
      <alignment horizontal="center" vertical="center"/>
    </xf>
    <xf numFmtId="0" fontId="54" fillId="0" borderId="45" xfId="0" applyFont="1" applyFill="1" applyBorder="1" applyAlignment="1">
      <alignment horizontal="center" vertical="center"/>
    </xf>
    <xf numFmtId="0" fontId="29" fillId="0" borderId="44" xfId="0" applyFont="1" applyFill="1" applyBorder="1" applyAlignment="1">
      <alignment horizontal="left" vertical="center"/>
    </xf>
    <xf numFmtId="0" fontId="29" fillId="0" borderId="44" xfId="0" applyFont="1" applyFill="1" applyBorder="1" applyAlignment="1">
      <alignment horizontal="center" vertical="center"/>
    </xf>
    <xf numFmtId="14" fontId="29" fillId="0" borderId="44" xfId="0" applyNumberFormat="1" applyFont="1" applyFill="1" applyBorder="1" applyAlignment="1">
      <alignment horizontal="center" vertical="center"/>
    </xf>
    <xf numFmtId="0" fontId="31" fillId="29" borderId="51" xfId="0" applyFont="1" applyFill="1" applyBorder="1" applyAlignment="1">
      <alignment horizontal="center" vertical="center" wrapText="1"/>
    </xf>
    <xf numFmtId="14" fontId="31" fillId="29" borderId="52" xfId="0" applyNumberFormat="1" applyFont="1" applyFill="1" applyBorder="1" applyAlignment="1">
      <alignment horizontal="center" vertical="center" wrapText="1"/>
    </xf>
    <xf numFmtId="0" fontId="29" fillId="0" borderId="53" xfId="0" applyFont="1" applyFill="1" applyBorder="1" applyAlignment="1">
      <alignment horizontal="center" vertical="center"/>
    </xf>
    <xf numFmtId="14" fontId="29" fillId="0" borderId="54" xfId="0" applyNumberFormat="1" applyFont="1" applyFill="1" applyBorder="1" applyAlignment="1">
      <alignment horizontal="center" vertical="center"/>
    </xf>
    <xf numFmtId="0" fontId="29" fillId="0" borderId="55" xfId="0" applyFont="1" applyFill="1" applyBorder="1" applyAlignment="1">
      <alignment horizontal="center" vertical="center"/>
    </xf>
    <xf numFmtId="14" fontId="29" fillId="0" borderId="56" xfId="0" applyNumberFormat="1" applyFont="1" applyFill="1" applyBorder="1" applyAlignment="1">
      <alignment horizontal="center" vertical="center"/>
    </xf>
    <xf numFmtId="14" fontId="29" fillId="0" borderId="57" xfId="0" applyNumberFormat="1" applyFont="1" applyFill="1" applyBorder="1" applyAlignment="1">
      <alignment horizontal="center" vertical="center"/>
    </xf>
    <xf numFmtId="0" fontId="29" fillId="0" borderId="58" xfId="0" applyFont="1" applyFill="1" applyBorder="1" applyAlignment="1">
      <alignment horizontal="center" vertical="center"/>
    </xf>
    <xf numFmtId="0" fontId="32" fillId="24" borderId="45" xfId="0" applyFont="1" applyFill="1" applyBorder="1" applyAlignment="1" applyProtection="1">
      <alignment horizontal="center" vertical="center"/>
      <protection hidden="1"/>
    </xf>
    <xf numFmtId="0" fontId="60" fillId="32" borderId="44" xfId="0" applyFont="1" applyFill="1" applyBorder="1" applyAlignment="1" applyProtection="1">
      <alignment horizontal="center" vertical="center"/>
      <protection locked="0"/>
    </xf>
    <xf numFmtId="0" fontId="29" fillId="24" borderId="44" xfId="0" applyFont="1" applyFill="1" applyBorder="1" applyAlignment="1" applyProtection="1">
      <alignment horizontal="left" vertical="center" shrinkToFit="1"/>
      <protection hidden="1"/>
    </xf>
    <xf numFmtId="0" fontId="29" fillId="24" borderId="44" xfId="0" applyFont="1" applyFill="1" applyBorder="1" applyAlignment="1" applyProtection="1">
      <alignment horizontal="center" vertical="center"/>
      <protection hidden="1"/>
    </xf>
    <xf numFmtId="14" fontId="29" fillId="24" borderId="44" xfId="0" applyNumberFormat="1" applyFont="1" applyFill="1" applyBorder="1" applyAlignment="1" applyProtection="1">
      <alignment horizontal="center" vertical="center"/>
      <protection hidden="1"/>
    </xf>
    <xf numFmtId="187" fontId="61" fillId="32" borderId="44" xfId="0" applyNumberFormat="1" applyFont="1" applyFill="1" applyBorder="1" applyAlignment="1" applyProtection="1">
      <alignment horizontal="center" vertical="center"/>
      <protection locked="0"/>
    </xf>
    <xf numFmtId="0" fontId="31" fillId="29" borderId="59" xfId="0" applyFont="1" applyFill="1" applyBorder="1" applyAlignment="1">
      <alignment horizontal="center" vertical="center" wrapText="1"/>
    </xf>
    <xf numFmtId="0" fontId="32" fillId="24" borderId="55" xfId="0" applyFont="1" applyFill="1" applyBorder="1" applyAlignment="1" applyProtection="1">
      <alignment horizontal="center" vertical="center"/>
      <protection hidden="1"/>
    </xf>
    <xf numFmtId="0" fontId="63" fillId="24" borderId="60" xfId="0" applyFont="1" applyFill="1" applyBorder="1" applyAlignment="1" applyProtection="1">
      <alignment horizontal="center" vertical="center"/>
      <protection hidden="1"/>
    </xf>
    <xf numFmtId="0" fontId="32" fillId="24" borderId="58" xfId="0" applyFont="1" applyFill="1" applyBorder="1" applyAlignment="1" applyProtection="1">
      <alignment horizontal="center" vertical="center"/>
      <protection hidden="1"/>
    </xf>
    <xf numFmtId="0" fontId="60" fillId="32" borderId="25" xfId="0" applyFont="1" applyFill="1" applyBorder="1" applyAlignment="1" applyProtection="1">
      <alignment horizontal="center" vertical="center"/>
      <protection locked="0"/>
    </xf>
    <xf numFmtId="0" fontId="29" fillId="24" borderId="25" xfId="0" applyFont="1" applyFill="1" applyBorder="1" applyAlignment="1" applyProtection="1">
      <alignment horizontal="left" vertical="center" shrinkToFit="1"/>
      <protection hidden="1"/>
    </xf>
    <xf numFmtId="0" fontId="29" fillId="24" borderId="25" xfId="0" applyFont="1" applyFill="1" applyBorder="1" applyAlignment="1" applyProtection="1">
      <alignment horizontal="center" vertical="center"/>
      <protection hidden="1"/>
    </xf>
    <xf numFmtId="14" fontId="29" fillId="24" borderId="25" xfId="0" applyNumberFormat="1" applyFont="1" applyFill="1" applyBorder="1" applyAlignment="1" applyProtection="1">
      <alignment horizontal="center" vertical="center"/>
      <protection hidden="1"/>
    </xf>
    <xf numFmtId="187" fontId="61" fillId="32" borderId="25" xfId="0" applyNumberFormat="1" applyFont="1" applyFill="1" applyBorder="1" applyAlignment="1" applyProtection="1">
      <alignment horizontal="center" vertical="center"/>
      <protection locked="0"/>
    </xf>
    <xf numFmtId="0" fontId="63" fillId="24" borderId="33" xfId="0" applyFont="1" applyFill="1" applyBorder="1" applyAlignment="1" applyProtection="1">
      <alignment horizontal="center" vertical="center"/>
      <protection hidden="1"/>
    </xf>
    <xf numFmtId="1" fontId="60" fillId="24" borderId="61" xfId="0" applyNumberFormat="1" applyFont="1" applyFill="1" applyBorder="1" applyAlignment="1" applyProtection="1">
      <alignment horizontal="center" vertical="center"/>
      <protection hidden="1"/>
    </xf>
    <xf numFmtId="0" fontId="45" fillId="24" borderId="61" xfId="0" applyFont="1" applyFill="1" applyBorder="1" applyAlignment="1" applyProtection="1">
      <alignment horizontal="left" vertical="center" shrinkToFit="1"/>
      <protection hidden="1"/>
    </xf>
    <xf numFmtId="0" fontId="45" fillId="24" borderId="61" xfId="0" applyFont="1" applyFill="1" applyBorder="1" applyAlignment="1" applyProtection="1">
      <alignment horizontal="center" vertical="center"/>
      <protection hidden="1"/>
    </xf>
    <xf numFmtId="187" fontId="61" fillId="24" borderId="61" xfId="0" applyNumberFormat="1" applyFont="1" applyFill="1" applyBorder="1" applyAlignment="1" applyProtection="1">
      <alignment horizontal="center" vertical="center"/>
      <protection hidden="1"/>
    </xf>
    <xf numFmtId="0" fontId="45" fillId="24" borderId="62" xfId="0" applyNumberFormat="1" applyFont="1" applyFill="1" applyBorder="1" applyAlignment="1" applyProtection="1">
      <alignment horizontal="center" vertical="center"/>
      <protection hidden="1"/>
    </xf>
    <xf numFmtId="181" fontId="66" fillId="30" borderId="26" xfId="0" applyNumberFormat="1" applyFont="1" applyFill="1" applyBorder="1" applyAlignment="1" applyProtection="1">
      <alignment vertical="center" wrapText="1"/>
      <protection hidden="1"/>
    </xf>
    <xf numFmtId="181" fontId="66" fillId="30" borderId="0" xfId="0" applyNumberFormat="1" applyFont="1" applyFill="1" applyBorder="1" applyAlignment="1" applyProtection="1">
      <alignment vertical="center" wrapText="1"/>
      <protection hidden="1"/>
    </xf>
    <xf numFmtId="187" fontId="66" fillId="30" borderId="0" xfId="0" applyNumberFormat="1" applyFont="1" applyFill="1" applyBorder="1" applyAlignment="1" applyProtection="1">
      <alignment vertical="center" wrapText="1"/>
      <protection hidden="1"/>
    </xf>
    <xf numFmtId="181" fontId="66" fillId="30" borderId="27" xfId="0" applyNumberFormat="1" applyFont="1" applyFill="1" applyBorder="1" applyAlignment="1" applyProtection="1">
      <alignment vertical="center" wrapText="1"/>
      <protection hidden="1"/>
    </xf>
    <xf numFmtId="0" fontId="31" fillId="29" borderId="63" xfId="0" applyFont="1" applyFill="1" applyBorder="1" applyAlignment="1" applyProtection="1">
      <alignment horizontal="center" vertical="center" wrapText="1"/>
      <protection hidden="1"/>
    </xf>
    <xf numFmtId="0" fontId="31" fillId="29" borderId="64" xfId="0" applyFont="1" applyFill="1" applyBorder="1" applyAlignment="1" applyProtection="1">
      <alignment horizontal="center" vertical="center" wrapText="1"/>
      <protection hidden="1"/>
    </xf>
    <xf numFmtId="0" fontId="35" fillId="24" borderId="65" xfId="0" applyFont="1" applyFill="1" applyBorder="1" applyAlignment="1" applyProtection="1">
      <alignment horizontal="center" vertical="center"/>
      <protection hidden="1"/>
    </xf>
    <xf numFmtId="1" fontId="31" fillId="24" borderId="66" xfId="0" applyNumberFormat="1" applyFont="1" applyFill="1" applyBorder="1" applyAlignment="1" applyProtection="1">
      <alignment horizontal="center" vertical="center"/>
      <protection hidden="1"/>
    </xf>
    <xf numFmtId="0" fontId="35" fillId="24" borderId="67" xfId="0" applyFont="1" applyFill="1" applyBorder="1" applyAlignment="1" applyProtection="1">
      <alignment horizontal="center" vertical="center"/>
      <protection hidden="1"/>
    </xf>
    <xf numFmtId="1" fontId="31" fillId="24" borderId="68" xfId="0" applyNumberFormat="1" applyFont="1" applyFill="1" applyBorder="1" applyAlignment="1" applyProtection="1">
      <alignment horizontal="center" vertical="center"/>
      <protection hidden="1"/>
    </xf>
    <xf numFmtId="1" fontId="34" fillId="24" borderId="68" xfId="0" applyNumberFormat="1" applyFont="1" applyFill="1" applyBorder="1" applyAlignment="1" applyProtection="1">
      <alignment horizontal="center" vertical="center"/>
      <protection hidden="1"/>
    </xf>
    <xf numFmtId="0" fontId="35" fillId="25" borderId="67" xfId="0" applyFont="1" applyFill="1" applyBorder="1" applyAlignment="1" applyProtection="1">
      <alignment horizontal="center" vertical="center"/>
      <protection hidden="1"/>
    </xf>
    <xf numFmtId="0" fontId="35" fillId="24" borderId="69" xfId="0" applyFont="1" applyFill="1" applyBorder="1" applyAlignment="1" applyProtection="1">
      <alignment horizontal="center" vertical="center"/>
      <protection hidden="1"/>
    </xf>
    <xf numFmtId="0" fontId="45" fillId="25" borderId="70" xfId="0" applyFont="1" applyFill="1" applyBorder="1" applyAlignment="1" applyProtection="1">
      <alignment horizontal="left" vertical="center" shrinkToFit="1"/>
      <protection hidden="1"/>
    </xf>
    <xf numFmtId="1" fontId="60" fillId="24" borderId="71" xfId="0" applyNumberFormat="1" applyFont="1" applyFill="1" applyBorder="1" applyAlignment="1" applyProtection="1">
      <alignment horizontal="center" vertical="center"/>
      <protection hidden="1"/>
    </xf>
    <xf numFmtId="0" fontId="45" fillId="24" borderId="71" xfId="0" applyFont="1" applyFill="1" applyBorder="1" applyAlignment="1" applyProtection="1">
      <alignment horizontal="left" vertical="center" shrinkToFit="1"/>
      <protection hidden="1"/>
    </xf>
    <xf numFmtId="0" fontId="45" fillId="24" borderId="71" xfId="0" applyFont="1" applyFill="1" applyBorder="1" applyAlignment="1" applyProtection="1">
      <alignment horizontal="center" vertical="center"/>
      <protection hidden="1"/>
    </xf>
    <xf numFmtId="187" fontId="61" fillId="24" borderId="71" xfId="0" applyNumberFormat="1" applyFont="1" applyFill="1" applyBorder="1" applyAlignment="1" applyProtection="1">
      <alignment horizontal="center" vertical="center"/>
      <protection hidden="1"/>
    </xf>
    <xf numFmtId="0" fontId="45" fillId="24" borderId="72" xfId="0" applyNumberFormat="1" applyFont="1" applyFill="1" applyBorder="1" applyAlignment="1" applyProtection="1">
      <alignment horizontal="center" vertical="center"/>
      <protection hidden="1"/>
    </xf>
    <xf numFmtId="1" fontId="29" fillId="24" borderId="73" xfId="0" applyNumberFormat="1" applyFont="1" applyFill="1" applyBorder="1" applyAlignment="1" applyProtection="1">
      <alignment horizontal="center" vertical="center"/>
      <protection hidden="1"/>
    </xf>
    <xf numFmtId="1" fontId="31" fillId="24" borderId="74" xfId="0" applyNumberFormat="1" applyFont="1" applyFill="1" applyBorder="1" applyAlignment="1" applyProtection="1">
      <alignment horizontal="center" vertical="center"/>
      <protection hidden="1"/>
    </xf>
    <xf numFmtId="1" fontId="54" fillId="24" borderId="61" xfId="0" applyNumberFormat="1" applyFont="1" applyFill="1" applyBorder="1" applyAlignment="1" applyProtection="1">
      <alignment horizontal="center" vertical="center"/>
      <protection hidden="1"/>
    </xf>
    <xf numFmtId="0" fontId="29" fillId="24" borderId="61" xfId="0" applyFont="1" applyFill="1" applyBorder="1" applyAlignment="1" applyProtection="1">
      <alignment horizontal="left" vertical="center" shrinkToFit="1"/>
      <protection hidden="1"/>
    </xf>
    <xf numFmtId="0" fontId="29" fillId="24" borderId="61" xfId="0" applyFont="1" applyFill="1" applyBorder="1" applyAlignment="1" applyProtection="1">
      <alignment horizontal="center" vertical="center"/>
      <protection hidden="1"/>
    </xf>
    <xf numFmtId="187" fontId="62" fillId="24" borderId="61" xfId="0" applyNumberFormat="1" applyFont="1" applyFill="1" applyBorder="1" applyAlignment="1" applyProtection="1">
      <alignment horizontal="center" vertical="center"/>
      <protection hidden="1"/>
    </xf>
    <xf numFmtId="0" fontId="29" fillId="24" borderId="62" xfId="0" applyFont="1" applyFill="1" applyBorder="1" applyAlignment="1" applyProtection="1">
      <alignment horizontal="center" vertical="center"/>
      <protection hidden="1"/>
    </xf>
    <xf numFmtId="1" fontId="31" fillId="29" borderId="64" xfId="0" applyNumberFormat="1" applyFont="1" applyFill="1" applyBorder="1" applyAlignment="1" applyProtection="1">
      <alignment horizontal="center" vertical="center" wrapText="1"/>
      <protection hidden="1"/>
    </xf>
    <xf numFmtId="0" fontId="31" fillId="24" borderId="65" xfId="0" applyFont="1" applyFill="1" applyBorder="1" applyAlignment="1" applyProtection="1">
      <alignment horizontal="center" vertical="center"/>
      <protection hidden="1"/>
    </xf>
    <xf numFmtId="0" fontId="31" fillId="24" borderId="67" xfId="0" applyFont="1" applyFill="1" applyBorder="1" applyAlignment="1" applyProtection="1">
      <alignment horizontal="center" vertical="center"/>
      <protection hidden="1"/>
    </xf>
    <xf numFmtId="0" fontId="34" fillId="24" borderId="67" xfId="0" applyFont="1" applyFill="1" applyBorder="1" applyAlignment="1" applyProtection="1">
      <alignment horizontal="center" vertical="center"/>
      <protection hidden="1"/>
    </xf>
    <xf numFmtId="0" fontId="31" fillId="24" borderId="69" xfId="0" applyFont="1" applyFill="1" applyBorder="1" applyAlignment="1" applyProtection="1">
      <alignment horizontal="center" vertical="center"/>
      <protection hidden="1"/>
    </xf>
    <xf numFmtId="0" fontId="29" fillId="25" borderId="70" xfId="0" applyFont="1" applyFill="1" applyBorder="1" applyAlignment="1" applyProtection="1">
      <alignment horizontal="left" vertical="center" shrinkToFit="1"/>
      <protection hidden="1"/>
    </xf>
    <xf numFmtId="1" fontId="54" fillId="24" borderId="71" xfId="0" applyNumberFormat="1" applyFont="1" applyFill="1" applyBorder="1" applyAlignment="1" applyProtection="1">
      <alignment horizontal="center" vertical="center"/>
      <protection hidden="1"/>
    </xf>
    <xf numFmtId="0" fontId="29" fillId="24" borderId="71" xfId="0" applyFont="1" applyFill="1" applyBorder="1" applyAlignment="1" applyProtection="1">
      <alignment horizontal="left" vertical="center" shrinkToFit="1"/>
      <protection hidden="1"/>
    </xf>
    <xf numFmtId="0" fontId="29" fillId="24" borderId="71" xfId="0" applyFont="1" applyFill="1" applyBorder="1" applyAlignment="1" applyProtection="1">
      <alignment horizontal="center" vertical="center"/>
      <protection hidden="1"/>
    </xf>
    <xf numFmtId="187" fontId="62" fillId="24" borderId="71" xfId="0" applyNumberFormat="1" applyFont="1" applyFill="1" applyBorder="1" applyAlignment="1" applyProtection="1">
      <alignment horizontal="center" vertical="center"/>
      <protection hidden="1"/>
    </xf>
    <xf numFmtId="0" fontId="29" fillId="24" borderId="72" xfId="0" applyFont="1" applyFill="1" applyBorder="1" applyAlignment="1" applyProtection="1">
      <alignment horizontal="center" vertical="center"/>
      <protection hidden="1"/>
    </xf>
    <xf numFmtId="0" fontId="62" fillId="0" borderId="46" xfId="0" applyFont="1" applyFill="1" applyBorder="1" applyAlignment="1">
      <alignment horizontal="center" vertical="center"/>
    </xf>
    <xf numFmtId="0" fontId="62" fillId="0" borderId="22" xfId="0" applyFont="1" applyFill="1" applyBorder="1" applyAlignment="1">
      <alignment horizontal="center" vertical="center"/>
    </xf>
    <xf numFmtId="0" fontId="62" fillId="0" borderId="48" xfId="0" applyFont="1" applyFill="1" applyBorder="1" applyAlignment="1">
      <alignment horizontal="center" vertical="center"/>
    </xf>
    <xf numFmtId="0" fontId="67" fillId="28" borderId="50" xfId="0" applyFont="1" applyFill="1" applyBorder="1" applyAlignment="1" applyProtection="1">
      <alignment horizontal="left" vertical="center" wrapText="1"/>
      <protection locked="0"/>
    </xf>
    <xf numFmtId="0" fontId="67" fillId="28" borderId="49" xfId="0" applyFont="1" applyFill="1" applyBorder="1" applyAlignment="1" applyProtection="1">
      <alignment horizontal="left" vertical="center" wrapText="1"/>
      <protection locked="0"/>
    </xf>
    <xf numFmtId="184" fontId="64" fillId="28" borderId="50" xfId="0" applyNumberFormat="1" applyFont="1" applyFill="1" applyBorder="1" applyAlignment="1" applyProtection="1">
      <alignment horizontal="left" vertical="center" wrapText="1"/>
      <protection locked="0"/>
    </xf>
    <xf numFmtId="184" fontId="64" fillId="28" borderId="49" xfId="0" applyNumberFormat="1" applyFont="1" applyFill="1" applyBorder="1" applyAlignment="1" applyProtection="1">
      <alignment horizontal="left" vertical="center" wrapText="1"/>
      <protection locked="0"/>
    </xf>
    <xf numFmtId="0" fontId="23" fillId="27" borderId="75" xfId="0" applyFont="1" applyFill="1" applyBorder="1" applyAlignment="1" applyProtection="1">
      <alignment horizontal="center" wrapText="1"/>
      <protection hidden="1"/>
    </xf>
    <xf numFmtId="0" fontId="23" fillId="27" borderId="76" xfId="0" applyFont="1" applyFill="1" applyBorder="1" applyAlignment="1" applyProtection="1">
      <alignment horizontal="center" wrapText="1"/>
      <protection hidden="1"/>
    </xf>
    <xf numFmtId="0" fontId="23" fillId="27" borderId="77" xfId="0" applyFont="1" applyFill="1" applyBorder="1" applyAlignment="1" applyProtection="1">
      <alignment horizontal="center" wrapText="1"/>
      <protection hidden="1"/>
    </xf>
    <xf numFmtId="0" fontId="68" fillId="27" borderId="26" xfId="0" applyFont="1" applyFill="1" applyBorder="1" applyAlignment="1" applyProtection="1">
      <alignment horizontal="center" vertical="center" wrapText="1"/>
      <protection locked="0"/>
    </xf>
    <xf numFmtId="0" fontId="68" fillId="27" borderId="0" xfId="0" applyFont="1" applyFill="1" applyBorder="1" applyAlignment="1" applyProtection="1">
      <alignment horizontal="center" vertical="center"/>
      <protection locked="0"/>
    </xf>
    <xf numFmtId="0" fontId="68" fillId="27" borderId="27" xfId="0" applyFont="1" applyFill="1" applyBorder="1" applyAlignment="1" applyProtection="1">
      <alignment horizontal="center" vertical="center"/>
      <protection locked="0"/>
    </xf>
    <xf numFmtId="0" fontId="68" fillId="27" borderId="26" xfId="0" applyFont="1" applyFill="1" applyBorder="1" applyAlignment="1" applyProtection="1">
      <alignment horizontal="center" vertical="center"/>
      <protection hidden="1"/>
    </xf>
    <xf numFmtId="0" fontId="68" fillId="27" borderId="0" xfId="0" applyFont="1" applyFill="1" applyBorder="1" applyAlignment="1" applyProtection="1">
      <alignment horizontal="center" vertical="center"/>
      <protection hidden="1"/>
    </xf>
    <xf numFmtId="0" fontId="68" fillId="27" borderId="27" xfId="0" applyFont="1" applyFill="1" applyBorder="1" applyAlignment="1" applyProtection="1">
      <alignment horizontal="center" vertical="center"/>
      <protection hidden="1"/>
    </xf>
    <xf numFmtId="0" fontId="56" fillId="27" borderId="26" xfId="0" applyFont="1" applyFill="1" applyBorder="1" applyAlignment="1" applyProtection="1">
      <alignment horizontal="center" vertical="center" wrapText="1"/>
      <protection hidden="1"/>
    </xf>
    <xf numFmtId="0" fontId="56" fillId="27" borderId="0" xfId="0" applyFont="1" applyFill="1" applyBorder="1" applyAlignment="1" applyProtection="1">
      <alignment horizontal="center" vertical="center"/>
      <protection hidden="1"/>
    </xf>
    <xf numFmtId="0" fontId="56" fillId="27" borderId="27" xfId="0" applyFont="1" applyFill="1" applyBorder="1" applyAlignment="1" applyProtection="1">
      <alignment horizontal="center" vertical="center"/>
      <protection hidden="1"/>
    </xf>
    <xf numFmtId="0" fontId="56" fillId="27" borderId="26" xfId="0" applyFont="1" applyFill="1" applyBorder="1" applyAlignment="1" applyProtection="1">
      <alignment horizontal="center" vertical="center"/>
      <protection hidden="1"/>
    </xf>
    <xf numFmtId="0" fontId="54" fillId="26" borderId="26" xfId="0" applyFont="1" applyFill="1" applyBorder="1" applyAlignment="1">
      <alignment horizontal="left" vertical="center"/>
    </xf>
    <xf numFmtId="0" fontId="54" fillId="26" borderId="0" xfId="0" applyFont="1" applyFill="1" applyBorder="1" applyAlignment="1">
      <alignment horizontal="left" vertical="center"/>
    </xf>
    <xf numFmtId="0" fontId="34" fillId="26" borderId="75" xfId="0" applyFont="1" applyFill="1" applyBorder="1" applyAlignment="1">
      <alignment horizontal="center" vertical="center" wrapText="1"/>
    </xf>
    <xf numFmtId="0" fontId="34" fillId="26" borderId="76" xfId="0" applyFont="1" applyFill="1" applyBorder="1" applyAlignment="1">
      <alignment horizontal="center" vertical="center"/>
    </xf>
    <xf numFmtId="0" fontId="34" fillId="26" borderId="77" xfId="0" applyFont="1" applyFill="1" applyBorder="1" applyAlignment="1">
      <alignment horizontal="center" vertical="center"/>
    </xf>
    <xf numFmtId="0" fontId="51" fillId="29" borderId="26" xfId="0" applyFont="1" applyFill="1" applyBorder="1" applyAlignment="1">
      <alignment horizontal="center" vertical="center" wrapText="1"/>
    </xf>
    <xf numFmtId="0" fontId="51" fillId="29" borderId="0" xfId="0" applyFont="1" applyFill="1" applyBorder="1" applyAlignment="1">
      <alignment horizontal="center" vertical="center" wrapText="1"/>
    </xf>
    <xf numFmtId="0" fontId="51" fillId="29" borderId="27" xfId="0" applyFont="1" applyFill="1" applyBorder="1" applyAlignment="1">
      <alignment horizontal="center" vertical="center" wrapText="1"/>
    </xf>
    <xf numFmtId="180" fontId="69" fillId="26" borderId="26" xfId="0" applyNumberFormat="1" applyFont="1" applyFill="1" applyBorder="1" applyAlignment="1">
      <alignment horizontal="center" vertical="center" wrapText="1"/>
    </xf>
    <xf numFmtId="180" fontId="69" fillId="26" borderId="0" xfId="0" applyNumberFormat="1" applyFont="1" applyFill="1" applyBorder="1" applyAlignment="1">
      <alignment horizontal="center" vertical="center" wrapText="1"/>
    </xf>
    <xf numFmtId="180" fontId="69" fillId="26" borderId="27" xfId="0" applyNumberFormat="1" applyFont="1" applyFill="1" applyBorder="1" applyAlignment="1">
      <alignment horizontal="center" vertical="center" wrapText="1"/>
    </xf>
    <xf numFmtId="184" fontId="54" fillId="26" borderId="24" xfId="0" applyNumberFormat="1" applyFont="1" applyFill="1" applyBorder="1" applyAlignment="1">
      <alignment horizontal="left" vertical="center"/>
    </xf>
    <xf numFmtId="184" fontId="54" fillId="26" borderId="78" xfId="0" applyNumberFormat="1" applyFont="1" applyFill="1" applyBorder="1" applyAlignment="1">
      <alignment horizontal="left" vertical="center"/>
    </xf>
    <xf numFmtId="0" fontId="33" fillId="26" borderId="26" xfId="0" applyFont="1" applyFill="1" applyBorder="1" applyAlignment="1">
      <alignment horizontal="left" vertical="center"/>
    </xf>
    <xf numFmtId="0" fontId="33" fillId="26" borderId="0" xfId="0" applyFont="1" applyFill="1" applyBorder="1" applyAlignment="1">
      <alignment horizontal="left" vertical="center"/>
    </xf>
    <xf numFmtId="0" fontId="35" fillId="26" borderId="75" xfId="0" applyFont="1" applyFill="1" applyBorder="1" applyAlignment="1">
      <alignment horizontal="center" vertical="center" wrapText="1"/>
    </xf>
    <xf numFmtId="0" fontId="35" fillId="26" borderId="76" xfId="0" applyFont="1" applyFill="1" applyBorder="1" applyAlignment="1">
      <alignment horizontal="center" vertical="center" wrapText="1"/>
    </xf>
    <xf numFmtId="0" fontId="35" fillId="26" borderId="77" xfId="0" applyFont="1" applyFill="1" applyBorder="1" applyAlignment="1">
      <alignment horizontal="center" vertical="center" wrapText="1"/>
    </xf>
    <xf numFmtId="0" fontId="51" fillId="29" borderId="26" xfId="0" applyNumberFormat="1" applyFont="1" applyFill="1" applyBorder="1" applyAlignment="1">
      <alignment horizontal="center" vertical="center" wrapText="1"/>
    </xf>
    <xf numFmtId="0" fontId="51" fillId="29" borderId="0" xfId="0" applyNumberFormat="1" applyFont="1" applyFill="1" applyBorder="1" applyAlignment="1">
      <alignment horizontal="center" vertical="center" wrapText="1"/>
    </xf>
    <xf numFmtId="0" fontId="51" fillId="29" borderId="27" xfId="0" applyNumberFormat="1" applyFont="1" applyFill="1" applyBorder="1" applyAlignment="1">
      <alignment horizontal="center" vertical="center" wrapText="1"/>
    </xf>
    <xf numFmtId="0" fontId="66" fillId="26" borderId="26" xfId="0" applyNumberFormat="1" applyFont="1" applyFill="1" applyBorder="1" applyAlignment="1">
      <alignment horizontal="center" vertical="center" wrapText="1"/>
    </xf>
    <xf numFmtId="0" fontId="66" fillId="26" borderId="0" xfId="0" applyNumberFormat="1" applyFont="1" applyFill="1" applyBorder="1" applyAlignment="1">
      <alignment horizontal="center" vertical="center" wrapText="1"/>
    </xf>
    <xf numFmtId="0" fontId="66" fillId="26" borderId="27" xfId="0" applyNumberFormat="1" applyFont="1" applyFill="1" applyBorder="1" applyAlignment="1">
      <alignment horizontal="center" vertical="center" wrapText="1"/>
    </xf>
    <xf numFmtId="184" fontId="54" fillId="26" borderId="24" xfId="0" applyNumberFormat="1" applyFont="1" applyFill="1" applyBorder="1" applyAlignment="1">
      <alignment horizontal="center" vertical="center"/>
    </xf>
    <xf numFmtId="184" fontId="54" fillId="26" borderId="78" xfId="0" applyNumberFormat="1" applyFont="1" applyFill="1" applyBorder="1" applyAlignment="1">
      <alignment horizontal="center" vertical="center"/>
    </xf>
    <xf numFmtId="181" fontId="54" fillId="26" borderId="24" xfId="0" applyNumberFormat="1" applyFont="1" applyFill="1" applyBorder="1" applyAlignment="1" applyProtection="1">
      <alignment horizontal="left" vertical="center"/>
      <protection hidden="1"/>
    </xf>
    <xf numFmtId="184" fontId="54" fillId="26" borderId="24" xfId="0" applyNumberFormat="1" applyFont="1" applyFill="1" applyBorder="1" applyAlignment="1" applyProtection="1">
      <alignment horizontal="center" vertical="center"/>
      <protection hidden="1"/>
    </xf>
    <xf numFmtId="0" fontId="35" fillId="26" borderId="0" xfId="0" applyFont="1" applyFill="1" applyAlignment="1" applyProtection="1">
      <alignment horizontal="center" vertical="center" wrapText="1"/>
      <protection hidden="1"/>
    </xf>
    <xf numFmtId="0" fontId="51" fillId="29" borderId="0" xfId="0" applyFont="1" applyFill="1" applyAlignment="1" applyProtection="1">
      <alignment horizontal="center" vertical="center" wrapText="1"/>
      <protection hidden="1"/>
    </xf>
    <xf numFmtId="181" fontId="66" fillId="26" borderId="0" xfId="0" applyNumberFormat="1" applyFont="1" applyFill="1" applyAlignment="1" applyProtection="1">
      <alignment horizontal="center" wrapText="1"/>
      <protection hidden="1"/>
    </xf>
    <xf numFmtId="0" fontId="33" fillId="26" borderId="0" xfId="0" applyFont="1" applyFill="1" applyBorder="1" applyAlignment="1" applyProtection="1">
      <alignment horizontal="center" vertical="center"/>
      <protection hidden="1"/>
    </xf>
    <xf numFmtId="184" fontId="54" fillId="26" borderId="78" xfId="0" applyNumberFormat="1" applyFont="1" applyFill="1" applyBorder="1" applyAlignment="1" applyProtection="1">
      <alignment horizontal="center" vertical="center"/>
      <protection hidden="1"/>
    </xf>
    <xf numFmtId="0" fontId="41" fillId="29" borderId="26" xfId="0" applyFont="1" applyFill="1" applyBorder="1" applyAlignment="1" applyProtection="1">
      <alignment horizontal="center" vertical="center" wrapText="1"/>
      <protection hidden="1"/>
    </xf>
    <xf numFmtId="0" fontId="41" fillId="29" borderId="0" xfId="0" applyFont="1" applyFill="1" applyBorder="1" applyAlignment="1" applyProtection="1">
      <alignment horizontal="center" vertical="center" wrapText="1"/>
      <protection hidden="1"/>
    </xf>
    <xf numFmtId="0" fontId="41" fillId="29" borderId="27" xfId="0" applyFont="1" applyFill="1" applyBorder="1" applyAlignment="1" applyProtection="1">
      <alignment horizontal="center" vertical="center" wrapText="1"/>
      <protection hidden="1"/>
    </xf>
    <xf numFmtId="0" fontId="35" fillId="26" borderId="75" xfId="0" applyFont="1" applyFill="1" applyBorder="1" applyAlignment="1" applyProtection="1">
      <alignment horizontal="center" vertical="center" wrapText="1"/>
      <protection hidden="1"/>
    </xf>
    <xf numFmtId="0" fontId="35" fillId="26" borderId="76" xfId="0" applyFont="1" applyFill="1" applyBorder="1" applyAlignment="1" applyProtection="1">
      <alignment horizontal="center" vertical="center" wrapText="1"/>
      <protection hidden="1"/>
    </xf>
    <xf numFmtId="0" fontId="35" fillId="26" borderId="77" xfId="0" applyFont="1" applyFill="1" applyBorder="1" applyAlignment="1" applyProtection="1">
      <alignment horizontal="center" vertical="center" wrapText="1"/>
      <protection hidden="1"/>
    </xf>
    <xf numFmtId="181" fontId="66" fillId="26" borderId="26" xfId="0" applyNumberFormat="1" applyFont="1" applyFill="1" applyBorder="1" applyAlignment="1" applyProtection="1">
      <alignment horizontal="center" vertical="center" wrapText="1"/>
      <protection hidden="1"/>
    </xf>
    <xf numFmtId="181" fontId="66" fillId="26" borderId="0" xfId="0" applyNumberFormat="1" applyFont="1" applyFill="1" applyBorder="1" applyAlignment="1" applyProtection="1">
      <alignment horizontal="center" vertical="center" wrapText="1"/>
      <protection hidden="1"/>
    </xf>
    <xf numFmtId="181" fontId="66" fillId="26" borderId="27" xfId="0" applyNumberFormat="1" applyFont="1" applyFill="1" applyBorder="1" applyAlignment="1" applyProtection="1">
      <alignment horizontal="center" vertical="center" wrapText="1"/>
      <protection hidden="1"/>
    </xf>
    <xf numFmtId="0" fontId="33" fillId="26" borderId="79" xfId="0" applyFont="1" applyFill="1" applyBorder="1" applyAlignment="1" applyProtection="1">
      <alignment horizontal="left" vertical="center"/>
      <protection hidden="1"/>
    </xf>
    <xf numFmtId="0" fontId="33" fillId="26" borderId="24" xfId="0" applyFont="1" applyFill="1" applyBorder="1" applyAlignment="1" applyProtection="1">
      <alignment horizontal="left" vertical="center"/>
      <protection hidden="1"/>
    </xf>
    <xf numFmtId="0" fontId="35" fillId="30" borderId="75" xfId="0" applyFont="1" applyFill="1" applyBorder="1" applyAlignment="1" applyProtection="1">
      <alignment horizontal="center" vertical="center" wrapText="1"/>
      <protection hidden="1"/>
    </xf>
    <xf numFmtId="0" fontId="35" fillId="30" borderId="76" xfId="0" applyFont="1" applyFill="1" applyBorder="1" applyAlignment="1" applyProtection="1">
      <alignment horizontal="center" vertical="center" wrapText="1"/>
      <protection hidden="1"/>
    </xf>
    <xf numFmtId="0" fontId="35" fillId="30" borderId="77" xfId="0" applyFont="1" applyFill="1" applyBorder="1" applyAlignment="1" applyProtection="1">
      <alignment horizontal="center" vertical="center" wrapText="1"/>
      <protection hidden="1"/>
    </xf>
    <xf numFmtId="0" fontId="51" fillId="29" borderId="26" xfId="0" applyFont="1" applyFill="1" applyBorder="1" applyAlignment="1" applyProtection="1">
      <alignment horizontal="center" vertical="center" wrapText="1"/>
      <protection hidden="1"/>
    </xf>
    <xf numFmtId="0" fontId="51" fillId="29" borderId="0" xfId="0" applyFont="1" applyFill="1" applyBorder="1" applyAlignment="1" applyProtection="1">
      <alignment horizontal="center" vertical="center" wrapText="1"/>
      <protection hidden="1"/>
    </xf>
    <xf numFmtId="0" fontId="51" fillId="29" borderId="27" xfId="0" applyFont="1" applyFill="1" applyBorder="1" applyAlignment="1" applyProtection="1">
      <alignment horizontal="center" vertical="center" wrapText="1"/>
      <protection hidden="1"/>
    </xf>
    <xf numFmtId="181" fontId="66" fillId="30" borderId="0" xfId="0" applyNumberFormat="1" applyFont="1" applyFill="1" applyBorder="1" applyAlignment="1" applyProtection="1">
      <alignment horizontal="center" vertical="center" wrapText="1"/>
      <protection hidden="1"/>
    </xf>
    <xf numFmtId="181" fontId="54" fillId="30" borderId="24" xfId="0" applyNumberFormat="1" applyFont="1" applyFill="1" applyBorder="1" applyAlignment="1" applyProtection="1">
      <alignment horizontal="center" vertical="center"/>
      <protection hidden="1"/>
    </xf>
    <xf numFmtId="184" fontId="54" fillId="30" borderId="24" xfId="0" applyNumberFormat="1" applyFont="1" applyFill="1" applyBorder="1" applyAlignment="1" applyProtection="1">
      <alignment horizontal="center" vertical="center"/>
      <protection hidden="1"/>
    </xf>
    <xf numFmtId="184" fontId="54" fillId="30" borderId="78" xfId="0" applyNumberFormat="1" applyFont="1" applyFill="1" applyBorder="1" applyAlignment="1" applyProtection="1">
      <alignment horizontal="center" vertical="center"/>
      <protection hidden="1"/>
    </xf>
    <xf numFmtId="0" fontId="33" fillId="30" borderId="79" xfId="0" applyFont="1" applyFill="1" applyBorder="1" applyAlignment="1" applyProtection="1">
      <alignment horizontal="center" vertical="center"/>
      <protection hidden="1"/>
    </xf>
    <xf numFmtId="0" fontId="33" fillId="30" borderId="24" xfId="0" applyFont="1" applyFill="1" applyBorder="1" applyAlignment="1" applyProtection="1">
      <alignment horizontal="center"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664">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6285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523875</xdr:colOff>
      <xdr:row>3</xdr:row>
      <xdr:rowOff>28575</xdr:rowOff>
    </xdr:from>
    <xdr:to>
      <xdr:col>1</xdr:col>
      <xdr:colOff>1857375</xdr:colOff>
      <xdr:row>6</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838450" y="1133475"/>
          <a:ext cx="1333500" cy="942975"/>
        </a:xfrm>
        <a:prstGeom prst="rect">
          <a:avLst/>
        </a:prstGeom>
        <a:noFill/>
        <a:ln w="9525" cmpd="sng">
          <a:noFill/>
        </a:ln>
      </xdr:spPr>
    </xdr:pic>
    <xdr:clientData/>
  </xdr:twoCellAnchor>
  <xdr:twoCellAnchor editAs="oneCell">
    <xdr:from>
      <xdr:col>0</xdr:col>
      <xdr:colOff>1924050</xdr:colOff>
      <xdr:row>8</xdr:row>
      <xdr:rowOff>57150</xdr:rowOff>
    </xdr:from>
    <xdr:to>
      <xdr:col>2</xdr:col>
      <xdr:colOff>476250</xdr:colOff>
      <xdr:row>10</xdr:row>
      <xdr:rowOff>142875</xdr:rowOff>
    </xdr:to>
    <xdr:pic>
      <xdr:nvPicPr>
        <xdr:cNvPr id="5" name="3 Resim" descr="TUUUUUUUUU.png"/>
        <xdr:cNvPicPr preferRelativeResize="1">
          <a:picLocks noChangeAspect="1"/>
        </xdr:cNvPicPr>
      </xdr:nvPicPr>
      <xdr:blipFill>
        <a:blip r:embed="rId3"/>
        <a:stretch>
          <a:fillRect/>
        </a:stretch>
      </xdr:blipFill>
      <xdr:spPr>
        <a:xfrm>
          <a:off x="1924050" y="2733675"/>
          <a:ext cx="31813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114300</xdr:rowOff>
    </xdr:from>
    <xdr:to>
      <xdr:col>2</xdr:col>
      <xdr:colOff>381000</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8125" y="114300"/>
          <a:ext cx="1019175" cy="733425"/>
        </a:xfrm>
        <a:prstGeom prst="rect">
          <a:avLst/>
        </a:prstGeom>
        <a:noFill/>
        <a:ln w="9525" cmpd="sng">
          <a:noFill/>
        </a:ln>
      </xdr:spPr>
    </xdr:pic>
    <xdr:clientData/>
  </xdr:twoCellAnchor>
  <xdr:twoCellAnchor editAs="oneCell">
    <xdr:from>
      <xdr:col>3</xdr:col>
      <xdr:colOff>2352675</xdr:colOff>
      <xdr:row>0</xdr:row>
      <xdr:rowOff>66675</xdr:rowOff>
    </xdr:from>
    <xdr:to>
      <xdr:col>6</xdr:col>
      <xdr:colOff>95250</xdr:colOff>
      <xdr:row>0</xdr:row>
      <xdr:rowOff>428625</xdr:rowOff>
    </xdr:to>
    <xdr:pic>
      <xdr:nvPicPr>
        <xdr:cNvPr id="2" name="3 Resim" descr="TUUUUUUUUU.png"/>
        <xdr:cNvPicPr preferRelativeResize="1">
          <a:picLocks noChangeAspect="1"/>
        </xdr:cNvPicPr>
      </xdr:nvPicPr>
      <xdr:blipFill>
        <a:blip r:embed="rId2"/>
        <a:stretch>
          <a:fillRect/>
        </a:stretch>
      </xdr:blipFill>
      <xdr:spPr>
        <a:xfrm>
          <a:off x="5495925" y="66675"/>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66675</xdr:rowOff>
    </xdr:from>
    <xdr:to>
      <xdr:col>2</xdr:col>
      <xdr:colOff>457200</xdr:colOff>
      <xdr:row>2</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14325" y="66675"/>
          <a:ext cx="1019175" cy="733425"/>
        </a:xfrm>
        <a:prstGeom prst="rect">
          <a:avLst/>
        </a:prstGeom>
        <a:noFill/>
        <a:ln w="9525" cmpd="sng">
          <a:noFill/>
        </a:ln>
      </xdr:spPr>
    </xdr:pic>
    <xdr:clientData/>
  </xdr:twoCellAnchor>
  <xdr:twoCellAnchor editAs="oneCell">
    <xdr:from>
      <xdr:col>5</xdr:col>
      <xdr:colOff>209550</xdr:colOff>
      <xdr:row>0</xdr:row>
      <xdr:rowOff>9525</xdr:rowOff>
    </xdr:from>
    <xdr:to>
      <xdr:col>7</xdr:col>
      <xdr:colOff>466725</xdr:colOff>
      <xdr:row>0</xdr:row>
      <xdr:rowOff>371475</xdr:rowOff>
    </xdr:to>
    <xdr:pic>
      <xdr:nvPicPr>
        <xdr:cNvPr id="2" name="3 Resim" descr="TUUUUUUUUU.png"/>
        <xdr:cNvPicPr preferRelativeResize="1">
          <a:picLocks noChangeAspect="1"/>
        </xdr:cNvPicPr>
      </xdr:nvPicPr>
      <xdr:blipFill>
        <a:blip r:embed="rId2"/>
        <a:stretch>
          <a:fillRect/>
        </a:stretch>
      </xdr:blipFill>
      <xdr:spPr>
        <a:xfrm>
          <a:off x="5905500" y="9525"/>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0</xdr:row>
      <xdr:rowOff>66675</xdr:rowOff>
    </xdr:from>
    <xdr:to>
      <xdr:col>2</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twoCellAnchor editAs="oneCell">
    <xdr:from>
      <xdr:col>10</xdr:col>
      <xdr:colOff>390525</xdr:colOff>
      <xdr:row>0</xdr:row>
      <xdr:rowOff>28575</xdr:rowOff>
    </xdr:from>
    <xdr:to>
      <xdr:col>14</xdr:col>
      <xdr:colOff>466725</xdr:colOff>
      <xdr:row>1</xdr:row>
      <xdr:rowOff>9525</xdr:rowOff>
    </xdr:to>
    <xdr:pic>
      <xdr:nvPicPr>
        <xdr:cNvPr id="2" name="3 Resim" descr="TUUUUUUUUU.png"/>
        <xdr:cNvPicPr preferRelativeResize="1">
          <a:picLocks noChangeAspect="1"/>
        </xdr:cNvPicPr>
      </xdr:nvPicPr>
      <xdr:blipFill>
        <a:blip r:embed="rId2"/>
        <a:stretch>
          <a:fillRect/>
        </a:stretch>
      </xdr:blipFill>
      <xdr:spPr>
        <a:xfrm>
          <a:off x="7010400" y="28575"/>
          <a:ext cx="171450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1</xdr:col>
      <xdr:colOff>381000</xdr:colOff>
      <xdr:row>2</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9075" y="47625"/>
          <a:ext cx="828675" cy="666750"/>
        </a:xfrm>
        <a:prstGeom prst="rect">
          <a:avLst/>
        </a:prstGeom>
        <a:noFill/>
        <a:ln w="9525" cmpd="sng">
          <a:noFill/>
        </a:ln>
      </xdr:spPr>
    </xdr:pic>
    <xdr:clientData/>
  </xdr:twoCellAnchor>
  <xdr:twoCellAnchor editAs="oneCell">
    <xdr:from>
      <xdr:col>3</xdr:col>
      <xdr:colOff>1800225</xdr:colOff>
      <xdr:row>0</xdr:row>
      <xdr:rowOff>19050</xdr:rowOff>
    </xdr:from>
    <xdr:to>
      <xdr:col>7</xdr:col>
      <xdr:colOff>590550</xdr:colOff>
      <xdr:row>0</xdr:row>
      <xdr:rowOff>381000</xdr:rowOff>
    </xdr:to>
    <xdr:pic>
      <xdr:nvPicPr>
        <xdr:cNvPr id="2" name="3 Resim" descr="TUUUUUUUUU.png"/>
        <xdr:cNvPicPr preferRelativeResize="1">
          <a:picLocks noChangeAspect="1"/>
        </xdr:cNvPicPr>
      </xdr:nvPicPr>
      <xdr:blipFill>
        <a:blip r:embed="rId2"/>
        <a:stretch>
          <a:fillRect/>
        </a:stretch>
      </xdr:blipFill>
      <xdr:spPr>
        <a:xfrm>
          <a:off x="5314950" y="19050"/>
          <a:ext cx="173355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304800</xdr:colOff>
      <xdr:row>0</xdr:row>
      <xdr:rowOff>85725</xdr:rowOff>
    </xdr:from>
    <xdr:to>
      <xdr:col>10</xdr:col>
      <xdr:colOff>533400</xdr:colOff>
      <xdr:row>0</xdr:row>
      <xdr:rowOff>466725</xdr:rowOff>
    </xdr:to>
    <xdr:pic>
      <xdr:nvPicPr>
        <xdr:cNvPr id="1" name="2 Resim" descr="TUUUUUUUUU.png"/>
        <xdr:cNvPicPr preferRelativeResize="1">
          <a:picLocks noChangeAspect="1"/>
        </xdr:cNvPicPr>
      </xdr:nvPicPr>
      <xdr:blipFill>
        <a:blip r:embed="rId1"/>
        <a:stretch>
          <a:fillRect/>
        </a:stretch>
      </xdr:blipFill>
      <xdr:spPr>
        <a:xfrm>
          <a:off x="8210550" y="85725"/>
          <a:ext cx="2295525" cy="381000"/>
        </a:xfrm>
        <a:prstGeom prst="rect">
          <a:avLst/>
        </a:prstGeom>
        <a:noFill/>
        <a:ln w="9525" cmpd="sng">
          <a:noFill/>
        </a:ln>
      </xdr:spPr>
    </xdr:pic>
    <xdr:clientData/>
  </xdr:twoCellAnchor>
  <xdr:twoCellAnchor>
    <xdr:from>
      <xdr:col>0</xdr:col>
      <xdr:colOff>542925</xdr:colOff>
      <xdr:row>0</xdr:row>
      <xdr:rowOff>47625</xdr:rowOff>
    </xdr:from>
    <xdr:to>
      <xdr:col>1</xdr:col>
      <xdr:colOff>1009650</xdr:colOff>
      <xdr:row>3</xdr:row>
      <xdr:rowOff>19050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542925" y="47625"/>
          <a:ext cx="11525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8">
      <selection activeCell="B30" sqref="B30"/>
    </sheetView>
  </sheetViews>
  <sheetFormatPr defaultColWidth="9.00390625" defaultRowHeight="12.75"/>
  <cols>
    <col min="1" max="2" width="30.375" style="61" customWidth="1"/>
    <col min="3" max="3" width="30.875" style="61" customWidth="1"/>
    <col min="4" max="7" width="6.75390625" style="61" customWidth="1"/>
    <col min="8" max="8" width="9.125" style="61" bestFit="1" customWidth="1"/>
    <col min="9" max="9" width="8.875" style="61" bestFit="1" customWidth="1"/>
    <col min="10" max="10" width="8.75390625" style="61" bestFit="1" customWidth="1"/>
    <col min="11" max="11" width="6.625" style="61" customWidth="1"/>
    <col min="12" max="12" width="6.75390625" style="61" customWidth="1"/>
    <col min="13" max="13" width="7.25390625" style="61" customWidth="1"/>
    <col min="14" max="14" width="7.00390625" style="61" customWidth="1"/>
    <col min="15" max="16384" width="9.125" style="61" customWidth="1"/>
  </cols>
  <sheetData>
    <row r="1" spans="1:3" ht="33.75" customHeight="1">
      <c r="A1" s="233" t="s">
        <v>18</v>
      </c>
      <c r="B1" s="234"/>
      <c r="C1" s="235"/>
    </row>
    <row r="2" spans="1:5" ht="28.5" customHeight="1">
      <c r="A2" s="236" t="str">
        <f>CONCATENATE(B27," ","Atletizm İl Temsilciliği")</f>
        <v>Aksaray Atletizm İl Temsilciliği</v>
      </c>
      <c r="B2" s="237"/>
      <c r="C2" s="238"/>
      <c r="D2" s="62"/>
      <c r="E2" s="62"/>
    </row>
    <row r="3" spans="1:5" ht="24.75" customHeight="1">
      <c r="A3" s="239"/>
      <c r="B3" s="240"/>
      <c r="C3" s="241"/>
      <c r="D3" s="63"/>
      <c r="E3" s="63"/>
    </row>
    <row r="4" spans="1:3" s="67" customFormat="1" ht="24.75" customHeight="1">
      <c r="A4" s="64"/>
      <c r="B4" s="65"/>
      <c r="C4" s="66"/>
    </row>
    <row r="5" spans="1:3" s="67" customFormat="1" ht="24.75" customHeight="1">
      <c r="A5" s="64"/>
      <c r="B5" s="65"/>
      <c r="C5" s="66"/>
    </row>
    <row r="6" spans="1:3" s="67" customFormat="1" ht="24.75" customHeight="1">
      <c r="A6" s="64"/>
      <c r="B6" s="65"/>
      <c r="C6" s="66"/>
    </row>
    <row r="7" spans="1:3" s="67" customFormat="1" ht="24.75" customHeight="1">
      <c r="A7" s="64"/>
      <c r="B7" s="65"/>
      <c r="C7" s="66"/>
    </row>
    <row r="8" spans="1:3" s="67" customFormat="1" ht="24.75" customHeight="1">
      <c r="A8" s="64"/>
      <c r="B8" s="65"/>
      <c r="C8" s="66"/>
    </row>
    <row r="9" spans="1:3" ht="22.5">
      <c r="A9" s="64"/>
      <c r="B9" s="65"/>
      <c r="C9" s="66"/>
    </row>
    <row r="10" spans="1:3" ht="22.5">
      <c r="A10" s="64"/>
      <c r="B10" s="65"/>
      <c r="C10" s="66"/>
    </row>
    <row r="11" spans="1:3" ht="22.5">
      <c r="A11" s="64"/>
      <c r="B11" s="65"/>
      <c r="C11" s="66"/>
    </row>
    <row r="12" spans="1:3" ht="22.5">
      <c r="A12" s="64"/>
      <c r="B12" s="65"/>
      <c r="C12" s="66"/>
    </row>
    <row r="13" spans="1:3" ht="22.5">
      <c r="A13" s="64"/>
      <c r="B13" s="65"/>
      <c r="C13" s="66"/>
    </row>
    <row r="14" spans="1:3" ht="22.5">
      <c r="A14" s="64"/>
      <c r="B14" s="65"/>
      <c r="C14" s="66"/>
    </row>
    <row r="15" spans="1:3" ht="22.5">
      <c r="A15" s="64"/>
      <c r="B15" s="65"/>
      <c r="C15" s="66"/>
    </row>
    <row r="16" spans="1:3" ht="22.5">
      <c r="A16" s="64"/>
      <c r="B16" s="65"/>
      <c r="C16" s="66"/>
    </row>
    <row r="17" spans="1:3" ht="22.5">
      <c r="A17" s="64"/>
      <c r="B17" s="65"/>
      <c r="C17" s="66"/>
    </row>
    <row r="18" spans="1:3" ht="18" customHeight="1">
      <c r="A18" s="242" t="str">
        <f>B24</f>
        <v>Küçükler ve Yıldızlar Bölgesel Kros Ligi 3.Kademe Yarışmaları</v>
      </c>
      <c r="B18" s="243"/>
      <c r="C18" s="244"/>
    </row>
    <row r="19" spans="1:3" ht="31.5" customHeight="1">
      <c r="A19" s="245"/>
      <c r="B19" s="243"/>
      <c r="C19" s="244"/>
    </row>
    <row r="20" spans="1:3" ht="25.5" customHeight="1">
      <c r="A20" s="68"/>
      <c r="B20" s="69" t="str">
        <f>B27</f>
        <v>Aksaray</v>
      </c>
      <c r="C20" s="70"/>
    </row>
    <row r="21" spans="1:3" ht="25.5" customHeight="1">
      <c r="A21" s="64"/>
      <c r="B21" s="71"/>
      <c r="C21" s="66"/>
    </row>
    <row r="22" spans="1:3" ht="25.5" customHeight="1">
      <c r="A22" s="64"/>
      <c r="B22" s="71"/>
      <c r="C22" s="66"/>
    </row>
    <row r="23" spans="1:3" ht="22.5">
      <c r="A23" s="72"/>
      <c r="B23" s="73"/>
      <c r="C23" s="74"/>
    </row>
    <row r="24" spans="1:3" ht="30" customHeight="1">
      <c r="A24" s="75" t="s">
        <v>10</v>
      </c>
      <c r="B24" s="229" t="s">
        <v>60</v>
      </c>
      <c r="C24" s="230"/>
    </row>
    <row r="25" spans="1:3" ht="21" customHeight="1">
      <c r="A25" s="75" t="s">
        <v>11</v>
      </c>
      <c r="B25" s="229" t="s">
        <v>35</v>
      </c>
      <c r="C25" s="230"/>
    </row>
    <row r="26" spans="1:3" ht="21" customHeight="1">
      <c r="A26" s="76" t="s">
        <v>12</v>
      </c>
      <c r="B26" s="229" t="s">
        <v>36</v>
      </c>
      <c r="C26" s="230"/>
    </row>
    <row r="27" spans="1:3" ht="21" customHeight="1">
      <c r="A27" s="75" t="s">
        <v>13</v>
      </c>
      <c r="B27" s="229" t="s">
        <v>61</v>
      </c>
      <c r="C27" s="230"/>
    </row>
    <row r="28" spans="1:3" ht="21" customHeight="1">
      <c r="A28" s="77" t="s">
        <v>16</v>
      </c>
      <c r="B28" s="231">
        <v>41959.458333333336</v>
      </c>
      <c r="C28" s="232"/>
    </row>
    <row r="29" spans="1:3" ht="21" customHeight="1">
      <c r="A29" s="77" t="s">
        <v>37</v>
      </c>
      <c r="B29" s="145">
        <v>19</v>
      </c>
      <c r="C29" s="144"/>
    </row>
    <row r="30" spans="1:3" ht="21" customHeight="1">
      <c r="A30" s="77" t="s">
        <v>38</v>
      </c>
      <c r="B30" s="145">
        <v>4</v>
      </c>
      <c r="C30" s="144"/>
    </row>
    <row r="31" spans="1:3" ht="21" customHeight="1">
      <c r="A31" s="78"/>
      <c r="B31" s="79"/>
      <c r="C31" s="80"/>
    </row>
    <row r="32" spans="1:3" ht="21" customHeight="1">
      <c r="A32" s="78"/>
      <c r="B32" s="79"/>
      <c r="C32" s="80"/>
    </row>
    <row r="33" spans="1:3" ht="18.75" thickBot="1">
      <c r="A33" s="81"/>
      <c r="B33" s="82"/>
      <c r="C33" s="83"/>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53"/>
  <sheetViews>
    <sheetView view="pageBreakPreview" zoomScaleSheetLayoutView="100" zoomScalePageLayoutView="0" workbookViewId="0" topLeftCell="A16">
      <selection activeCell="B30" sqref="B30"/>
    </sheetView>
  </sheetViews>
  <sheetFormatPr defaultColWidth="9.00390625" defaultRowHeight="12.75"/>
  <cols>
    <col min="1" max="1" width="5.125" style="55" customWidth="1"/>
    <col min="2" max="2" width="6.375" style="55" bestFit="1" customWidth="1"/>
    <col min="3" max="3" width="29.75390625" style="56" customWidth="1"/>
    <col min="4" max="4" width="30.875" style="56" bestFit="1" customWidth="1"/>
    <col min="5" max="5" width="7.125" style="55" customWidth="1"/>
    <col min="6" max="6" width="14.25390625" style="57" customWidth="1"/>
    <col min="7" max="16384" width="9.125" style="44" customWidth="1"/>
  </cols>
  <sheetData>
    <row r="1" spans="1:6" ht="35.25" customHeight="1">
      <c r="A1" s="248" t="str">
        <f>KAPAK!A2</f>
        <v>Aksaray Atletizm İl Temsilciliği</v>
      </c>
      <c r="B1" s="249"/>
      <c r="C1" s="249"/>
      <c r="D1" s="249"/>
      <c r="E1" s="249"/>
      <c r="F1" s="250"/>
    </row>
    <row r="2" spans="1:6" ht="18.75" customHeight="1">
      <c r="A2" s="251" t="str">
        <f>KAPAK!B24</f>
        <v>Küçükler ve Yıldızlar Bölgesel Kros Ligi 3.Kademe Yarışmaları</v>
      </c>
      <c r="B2" s="252"/>
      <c r="C2" s="252"/>
      <c r="D2" s="252"/>
      <c r="E2" s="252"/>
      <c r="F2" s="253"/>
    </row>
    <row r="3" spans="1:6" ht="15.75" customHeight="1">
      <c r="A3" s="254" t="str">
        <f>KAPAK!B27</f>
        <v>Aksaray</v>
      </c>
      <c r="B3" s="255"/>
      <c r="C3" s="255"/>
      <c r="D3" s="255"/>
      <c r="E3" s="255"/>
      <c r="F3" s="256"/>
    </row>
    <row r="4" spans="1:6" ht="15.75" customHeight="1">
      <c r="A4" s="246" t="str">
        <f>KAPAK!B26</f>
        <v>Yıldız Erkekler</v>
      </c>
      <c r="B4" s="247"/>
      <c r="C4" s="247"/>
      <c r="D4" s="45" t="str">
        <f>KAPAK!B25</f>
        <v>3 km.</v>
      </c>
      <c r="E4" s="257">
        <f>KAPAK!B28</f>
        <v>41959.458333333336</v>
      </c>
      <c r="F4" s="258"/>
    </row>
    <row r="5" spans="1:8" s="46" customFormat="1" ht="26.25" thickBot="1">
      <c r="A5" s="160" t="s">
        <v>0</v>
      </c>
      <c r="B5" s="113" t="s">
        <v>1</v>
      </c>
      <c r="C5" s="114" t="s">
        <v>3</v>
      </c>
      <c r="D5" s="113" t="s">
        <v>17</v>
      </c>
      <c r="E5" s="113" t="s">
        <v>8</v>
      </c>
      <c r="F5" s="161" t="s">
        <v>2</v>
      </c>
      <c r="G5" s="47"/>
      <c r="H5" s="47"/>
    </row>
    <row r="6" spans="1:6" ht="30" customHeight="1">
      <c r="A6" s="162">
        <v>1</v>
      </c>
      <c r="B6" s="137">
        <v>291</v>
      </c>
      <c r="C6" s="138" t="s">
        <v>40</v>
      </c>
      <c r="D6" s="138" t="s">
        <v>41</v>
      </c>
      <c r="E6" s="152" t="s">
        <v>42</v>
      </c>
      <c r="F6" s="163">
        <v>35535</v>
      </c>
    </row>
    <row r="7" spans="1:6" ht="30" customHeight="1">
      <c r="A7" s="164">
        <v>2</v>
      </c>
      <c r="B7" s="141">
        <v>292</v>
      </c>
      <c r="C7" s="49" t="s">
        <v>43</v>
      </c>
      <c r="D7" s="49" t="s">
        <v>41</v>
      </c>
      <c r="E7" s="153" t="s">
        <v>42</v>
      </c>
      <c r="F7" s="165">
        <v>35598</v>
      </c>
    </row>
    <row r="8" spans="1:6" ht="30" customHeight="1">
      <c r="A8" s="164">
        <v>3</v>
      </c>
      <c r="B8" s="141">
        <v>293</v>
      </c>
      <c r="C8" s="49" t="s">
        <v>59</v>
      </c>
      <c r="D8" s="49" t="s">
        <v>41</v>
      </c>
      <c r="E8" s="153" t="s">
        <v>42</v>
      </c>
      <c r="F8" s="165">
        <v>35835</v>
      </c>
    </row>
    <row r="9" spans="1:6" ht="30" customHeight="1" thickBot="1">
      <c r="A9" s="164">
        <v>4</v>
      </c>
      <c r="B9" s="142">
        <v>294</v>
      </c>
      <c r="C9" s="52" t="s">
        <v>44</v>
      </c>
      <c r="D9" s="52" t="s">
        <v>41</v>
      </c>
      <c r="E9" s="154" t="s">
        <v>42</v>
      </c>
      <c r="F9" s="166">
        <v>36083</v>
      </c>
    </row>
    <row r="10" spans="1:6" ht="30" customHeight="1">
      <c r="A10" s="164">
        <v>5</v>
      </c>
      <c r="B10" s="137">
        <v>275</v>
      </c>
      <c r="C10" s="138" t="s">
        <v>45</v>
      </c>
      <c r="D10" s="138" t="s">
        <v>46</v>
      </c>
      <c r="E10" s="152" t="s">
        <v>42</v>
      </c>
      <c r="F10" s="163">
        <v>36088</v>
      </c>
    </row>
    <row r="11" spans="1:6" ht="30" customHeight="1">
      <c r="A11" s="164">
        <v>6</v>
      </c>
      <c r="B11" s="141">
        <v>276</v>
      </c>
      <c r="C11" s="49" t="s">
        <v>47</v>
      </c>
      <c r="D11" s="49" t="s">
        <v>46</v>
      </c>
      <c r="E11" s="153" t="s">
        <v>42</v>
      </c>
      <c r="F11" s="165">
        <v>35862</v>
      </c>
    </row>
    <row r="12" spans="1:6" ht="30" customHeight="1">
      <c r="A12" s="164">
        <v>7</v>
      </c>
      <c r="B12" s="141">
        <v>277</v>
      </c>
      <c r="C12" s="49" t="s">
        <v>48</v>
      </c>
      <c r="D12" s="49" t="s">
        <v>46</v>
      </c>
      <c r="E12" s="153" t="s">
        <v>42</v>
      </c>
      <c r="F12" s="165">
        <v>35507</v>
      </c>
    </row>
    <row r="13" spans="1:6" ht="30" customHeight="1" thickBot="1">
      <c r="A13" s="164">
        <v>8</v>
      </c>
      <c r="B13" s="142">
        <v>278</v>
      </c>
      <c r="C13" s="52" t="s">
        <v>49</v>
      </c>
      <c r="D13" s="52" t="s">
        <v>46</v>
      </c>
      <c r="E13" s="154" t="s">
        <v>42</v>
      </c>
      <c r="F13" s="166">
        <v>35445</v>
      </c>
    </row>
    <row r="14" spans="1:6" ht="30" customHeight="1">
      <c r="A14" s="164">
        <v>9</v>
      </c>
      <c r="B14" s="137">
        <v>283</v>
      </c>
      <c r="C14" s="138" t="s">
        <v>50</v>
      </c>
      <c r="D14" s="138" t="s">
        <v>51</v>
      </c>
      <c r="E14" s="152" t="s">
        <v>42</v>
      </c>
      <c r="F14" s="163">
        <v>35601</v>
      </c>
    </row>
    <row r="15" spans="1:6" ht="30" customHeight="1">
      <c r="A15" s="164">
        <v>10</v>
      </c>
      <c r="B15" s="141">
        <v>284</v>
      </c>
      <c r="C15" s="49" t="s">
        <v>52</v>
      </c>
      <c r="D15" s="49" t="s">
        <v>51</v>
      </c>
      <c r="E15" s="153" t="s">
        <v>42</v>
      </c>
      <c r="F15" s="165">
        <v>36077</v>
      </c>
    </row>
    <row r="16" spans="1:6" ht="30" customHeight="1">
      <c r="A16" s="164">
        <v>11</v>
      </c>
      <c r="B16" s="141">
        <v>285</v>
      </c>
      <c r="C16" s="49" t="s">
        <v>53</v>
      </c>
      <c r="D16" s="49" t="s">
        <v>51</v>
      </c>
      <c r="E16" s="153" t="s">
        <v>42</v>
      </c>
      <c r="F16" s="165">
        <v>35796</v>
      </c>
    </row>
    <row r="17" spans="1:6" ht="30" customHeight="1" thickBot="1">
      <c r="A17" s="164">
        <v>12</v>
      </c>
      <c r="B17" s="142">
        <v>286</v>
      </c>
      <c r="C17" s="52" t="s">
        <v>68</v>
      </c>
      <c r="D17" s="52" t="s">
        <v>51</v>
      </c>
      <c r="E17" s="154" t="s">
        <v>42</v>
      </c>
      <c r="F17" s="166">
        <v>36114</v>
      </c>
    </row>
    <row r="18" spans="1:6" ht="30" customHeight="1">
      <c r="A18" s="164">
        <v>13</v>
      </c>
      <c r="B18" s="137">
        <v>287</v>
      </c>
      <c r="C18" s="138" t="s">
        <v>54</v>
      </c>
      <c r="D18" s="138" t="s">
        <v>55</v>
      </c>
      <c r="E18" s="152" t="s">
        <v>42</v>
      </c>
      <c r="F18" s="163">
        <v>35496</v>
      </c>
    </row>
    <row r="19" spans="1:6" ht="30" customHeight="1">
      <c r="A19" s="164">
        <v>14</v>
      </c>
      <c r="B19" s="141">
        <v>288</v>
      </c>
      <c r="C19" s="49" t="s">
        <v>56</v>
      </c>
      <c r="D19" s="49" t="s">
        <v>55</v>
      </c>
      <c r="E19" s="153" t="s">
        <v>42</v>
      </c>
      <c r="F19" s="165">
        <v>35490</v>
      </c>
    </row>
    <row r="20" spans="1:6" ht="30" customHeight="1">
      <c r="A20" s="164">
        <v>15</v>
      </c>
      <c r="B20" s="141">
        <v>289</v>
      </c>
      <c r="C20" s="49" t="s">
        <v>57</v>
      </c>
      <c r="D20" s="49" t="s">
        <v>55</v>
      </c>
      <c r="E20" s="153" t="s">
        <v>42</v>
      </c>
      <c r="F20" s="165">
        <v>35764</v>
      </c>
    </row>
    <row r="21" spans="1:6" ht="30" customHeight="1" thickBot="1">
      <c r="A21" s="164">
        <v>16</v>
      </c>
      <c r="B21" s="142">
        <v>290</v>
      </c>
      <c r="C21" s="52" t="s">
        <v>58</v>
      </c>
      <c r="D21" s="52" t="s">
        <v>55</v>
      </c>
      <c r="E21" s="154" t="s">
        <v>42</v>
      </c>
      <c r="F21" s="166">
        <v>35784</v>
      </c>
    </row>
    <row r="22" spans="1:6" ht="30" customHeight="1">
      <c r="A22" s="164">
        <v>17</v>
      </c>
      <c r="B22" s="226">
        <v>307</v>
      </c>
      <c r="C22" s="138" t="s">
        <v>65</v>
      </c>
      <c r="D22" s="138" t="s">
        <v>63</v>
      </c>
      <c r="E22" s="152" t="s">
        <v>64</v>
      </c>
      <c r="F22" s="163">
        <v>35636</v>
      </c>
    </row>
    <row r="23" spans="1:6" ht="30" customHeight="1">
      <c r="A23" s="164">
        <v>18</v>
      </c>
      <c r="B23" s="227">
        <v>308</v>
      </c>
      <c r="C23" s="49" t="s">
        <v>62</v>
      </c>
      <c r="D23" s="49" t="s">
        <v>63</v>
      </c>
      <c r="E23" s="153" t="s">
        <v>64</v>
      </c>
      <c r="F23" s="165">
        <v>35797</v>
      </c>
    </row>
    <row r="24" spans="1:6" ht="30" customHeight="1">
      <c r="A24" s="164">
        <v>19</v>
      </c>
      <c r="B24" s="227">
        <v>303</v>
      </c>
      <c r="C24" s="49" t="s">
        <v>66</v>
      </c>
      <c r="D24" s="49" t="s">
        <v>67</v>
      </c>
      <c r="E24" s="153" t="s">
        <v>64</v>
      </c>
      <c r="F24" s="165">
        <v>35462</v>
      </c>
    </row>
    <row r="25" spans="1:6" ht="30" customHeight="1" thickBot="1">
      <c r="A25" s="167">
        <v>20</v>
      </c>
      <c r="B25" s="228"/>
      <c r="C25" s="52"/>
      <c r="D25" s="52"/>
      <c r="E25" s="154"/>
      <c r="F25" s="166"/>
    </row>
    <row r="26" spans="1:6" ht="15" customHeight="1">
      <c r="A26" s="136">
        <v>21</v>
      </c>
      <c r="B26" s="156"/>
      <c r="C26" s="157"/>
      <c r="D26" s="157"/>
      <c r="E26" s="158"/>
      <c r="F26" s="159"/>
    </row>
    <row r="27" spans="1:6" ht="15" customHeight="1">
      <c r="A27" s="48">
        <v>22</v>
      </c>
      <c r="B27" s="141"/>
      <c r="C27" s="49"/>
      <c r="D27" s="49"/>
      <c r="E27" s="50"/>
      <c r="F27" s="51"/>
    </row>
    <row r="28" spans="1:6" ht="15" customHeight="1">
      <c r="A28" s="48">
        <v>23</v>
      </c>
      <c r="B28" s="141"/>
      <c r="C28" s="49"/>
      <c r="D28" s="49"/>
      <c r="E28" s="50"/>
      <c r="F28" s="51"/>
    </row>
    <row r="29" spans="1:6" ht="15" customHeight="1" thickBot="1">
      <c r="A29" s="48">
        <v>24</v>
      </c>
      <c r="B29" s="141"/>
      <c r="C29" s="49"/>
      <c r="D29" s="49"/>
      <c r="E29" s="50"/>
      <c r="F29" s="51"/>
    </row>
    <row r="30" spans="1:6" ht="15" customHeight="1">
      <c r="A30" s="48">
        <v>25</v>
      </c>
      <c r="B30" s="137"/>
      <c r="C30" s="138"/>
      <c r="D30" s="138"/>
      <c r="E30" s="139"/>
      <c r="F30" s="140"/>
    </row>
    <row r="31" spans="1:6" ht="15" customHeight="1">
      <c r="A31" s="48">
        <v>26</v>
      </c>
      <c r="B31" s="141"/>
      <c r="C31" s="49"/>
      <c r="D31" s="49"/>
      <c r="E31" s="50"/>
      <c r="F31" s="51"/>
    </row>
    <row r="32" spans="1:6" ht="15" customHeight="1">
      <c r="A32" s="48">
        <v>27</v>
      </c>
      <c r="B32" s="141"/>
      <c r="C32" s="49"/>
      <c r="D32" s="49"/>
      <c r="E32" s="50"/>
      <c r="F32" s="51"/>
    </row>
    <row r="33" spans="1:6" ht="15" customHeight="1" thickBot="1">
      <c r="A33" s="48">
        <v>28</v>
      </c>
      <c r="B33" s="142"/>
      <c r="C33" s="52"/>
      <c r="D33" s="52"/>
      <c r="E33" s="53"/>
      <c r="F33" s="54"/>
    </row>
    <row r="34" spans="1:6" ht="15" customHeight="1">
      <c r="A34" s="48">
        <v>29</v>
      </c>
      <c r="B34" s="137"/>
      <c r="C34" s="138"/>
      <c r="D34" s="138"/>
      <c r="E34" s="139"/>
      <c r="F34" s="140"/>
    </row>
    <row r="35" spans="1:6" ht="15" customHeight="1">
      <c r="A35" s="48">
        <v>30</v>
      </c>
      <c r="B35" s="141"/>
      <c r="C35" s="49"/>
      <c r="D35" s="49"/>
      <c r="E35" s="50"/>
      <c r="F35" s="51"/>
    </row>
    <row r="36" spans="1:6" ht="15" customHeight="1">
      <c r="A36" s="48">
        <v>31</v>
      </c>
      <c r="B36" s="141"/>
      <c r="C36" s="49"/>
      <c r="D36" s="49"/>
      <c r="E36" s="50"/>
      <c r="F36" s="51"/>
    </row>
    <row r="37" spans="1:6" ht="15" customHeight="1" thickBot="1">
      <c r="A37" s="48">
        <v>32</v>
      </c>
      <c r="B37" s="142"/>
      <c r="C37" s="52"/>
      <c r="D37" s="52"/>
      <c r="E37" s="53"/>
      <c r="F37" s="54"/>
    </row>
    <row r="38" spans="1:6" ht="15" customHeight="1">
      <c r="A38" s="48">
        <v>33</v>
      </c>
      <c r="B38" s="137"/>
      <c r="C38" s="138"/>
      <c r="D38" s="138"/>
      <c r="E38" s="139"/>
      <c r="F38" s="140"/>
    </row>
    <row r="39" spans="1:6" ht="15" customHeight="1">
      <c r="A39" s="48">
        <v>34</v>
      </c>
      <c r="B39" s="141"/>
      <c r="C39" s="49"/>
      <c r="D39" s="49"/>
      <c r="E39" s="50"/>
      <c r="F39" s="51"/>
    </row>
    <row r="40" spans="1:6" ht="15" customHeight="1">
      <c r="A40" s="48">
        <v>35</v>
      </c>
      <c r="B40" s="141"/>
      <c r="C40" s="49"/>
      <c r="D40" s="49"/>
      <c r="E40" s="50"/>
      <c r="F40" s="51"/>
    </row>
    <row r="41" spans="1:6" ht="15" customHeight="1" thickBot="1">
      <c r="A41" s="48">
        <v>36</v>
      </c>
      <c r="B41" s="142"/>
      <c r="C41" s="52"/>
      <c r="D41" s="52"/>
      <c r="E41" s="53"/>
      <c r="F41" s="54"/>
    </row>
    <row r="42" spans="1:6" ht="15" customHeight="1">
      <c r="A42" s="48">
        <v>37</v>
      </c>
      <c r="B42" s="137"/>
      <c r="C42" s="138"/>
      <c r="D42" s="138"/>
      <c r="E42" s="139"/>
      <c r="F42" s="140"/>
    </row>
    <row r="43" spans="1:6" ht="15" customHeight="1">
      <c r="A43" s="48">
        <v>38</v>
      </c>
      <c r="B43" s="141"/>
      <c r="C43" s="49"/>
      <c r="D43" s="49"/>
      <c r="E43" s="50"/>
      <c r="F43" s="51"/>
    </row>
    <row r="44" spans="1:6" ht="15" customHeight="1">
      <c r="A44" s="48">
        <v>39</v>
      </c>
      <c r="B44" s="141"/>
      <c r="C44" s="49"/>
      <c r="D44" s="49"/>
      <c r="E44" s="50"/>
      <c r="F44" s="51"/>
    </row>
    <row r="45" spans="1:6" ht="15" customHeight="1" thickBot="1">
      <c r="A45" s="48">
        <v>40</v>
      </c>
      <c r="B45" s="142"/>
      <c r="C45" s="52"/>
      <c r="D45" s="52"/>
      <c r="E45" s="53"/>
      <c r="F45" s="54"/>
    </row>
    <row r="46" spans="1:6" ht="15" customHeight="1">
      <c r="A46" s="48">
        <v>41</v>
      </c>
      <c r="B46" s="137"/>
      <c r="C46" s="138"/>
      <c r="D46" s="138"/>
      <c r="E46" s="139"/>
      <c r="F46" s="140"/>
    </row>
    <row r="47" spans="1:6" ht="15" customHeight="1">
      <c r="A47" s="48">
        <v>42</v>
      </c>
      <c r="B47" s="141"/>
      <c r="C47" s="49"/>
      <c r="D47" s="49"/>
      <c r="E47" s="50"/>
      <c r="F47" s="51"/>
    </row>
    <row r="48" spans="1:6" ht="15" customHeight="1">
      <c r="A48" s="48">
        <v>43</v>
      </c>
      <c r="B48" s="141"/>
      <c r="C48" s="49"/>
      <c r="D48" s="49"/>
      <c r="E48" s="50"/>
      <c r="F48" s="51"/>
    </row>
    <row r="49" spans="1:6" ht="15" customHeight="1" thickBot="1">
      <c r="A49" s="48">
        <v>44</v>
      </c>
      <c r="B49" s="142"/>
      <c r="C49" s="52"/>
      <c r="D49" s="52"/>
      <c r="E49" s="53"/>
      <c r="F49" s="54"/>
    </row>
    <row r="50" spans="1:6" ht="15" customHeight="1">
      <c r="A50" s="48">
        <v>45</v>
      </c>
      <c r="B50" s="137"/>
      <c r="C50" s="138"/>
      <c r="D50" s="138"/>
      <c r="E50" s="139"/>
      <c r="F50" s="140"/>
    </row>
    <row r="51" spans="1:6" ht="15" customHeight="1">
      <c r="A51" s="48">
        <v>46</v>
      </c>
      <c r="B51" s="141"/>
      <c r="C51" s="49"/>
      <c r="D51" s="49"/>
      <c r="E51" s="50"/>
      <c r="F51" s="51"/>
    </row>
    <row r="52" spans="1:6" ht="15" customHeight="1">
      <c r="A52" s="48">
        <v>47</v>
      </c>
      <c r="B52" s="141"/>
      <c r="C52" s="49"/>
      <c r="D52" s="49"/>
      <c r="E52" s="50"/>
      <c r="F52" s="51"/>
    </row>
    <row r="53" spans="1:6" ht="15" customHeight="1" thickBot="1">
      <c r="A53" s="48">
        <v>48</v>
      </c>
      <c r="B53" s="142"/>
      <c r="C53" s="52"/>
      <c r="D53" s="52"/>
      <c r="E53" s="53"/>
      <c r="F53" s="54"/>
    </row>
    <row r="54" spans="1:6" ht="15" customHeight="1">
      <c r="A54" s="48">
        <v>49</v>
      </c>
      <c r="B54" s="137"/>
      <c r="C54" s="138"/>
      <c r="D54" s="138"/>
      <c r="E54" s="139"/>
      <c r="F54" s="140"/>
    </row>
    <row r="55" spans="1:6" ht="15" customHeight="1">
      <c r="A55" s="48">
        <v>50</v>
      </c>
      <c r="B55" s="141"/>
      <c r="C55" s="49"/>
      <c r="D55" s="49"/>
      <c r="E55" s="50"/>
      <c r="F55" s="51"/>
    </row>
    <row r="56" spans="1:6" ht="15" customHeight="1">
      <c r="A56" s="48">
        <v>51</v>
      </c>
      <c r="B56" s="141"/>
      <c r="C56" s="49"/>
      <c r="D56" s="49"/>
      <c r="E56" s="50"/>
      <c r="F56" s="51"/>
    </row>
    <row r="57" spans="1:6" ht="15" customHeight="1" thickBot="1">
      <c r="A57" s="48">
        <v>52</v>
      </c>
      <c r="B57" s="142"/>
      <c r="C57" s="52"/>
      <c r="D57" s="52"/>
      <c r="E57" s="53"/>
      <c r="F57" s="54"/>
    </row>
    <row r="58" spans="1:6" ht="15" customHeight="1">
      <c r="A58" s="48">
        <v>53</v>
      </c>
      <c r="B58" s="137"/>
      <c r="C58" s="138"/>
      <c r="D58" s="138"/>
      <c r="E58" s="139"/>
      <c r="F58" s="140"/>
    </row>
    <row r="59" spans="1:6" ht="15" customHeight="1">
      <c r="A59" s="48">
        <v>54</v>
      </c>
      <c r="B59" s="141"/>
      <c r="C59" s="49"/>
      <c r="D59" s="49"/>
      <c r="E59" s="50"/>
      <c r="F59" s="51"/>
    </row>
    <row r="60" spans="1:6" ht="15" customHeight="1">
      <c r="A60" s="48">
        <v>55</v>
      </c>
      <c r="B60" s="141"/>
      <c r="C60" s="49"/>
      <c r="D60" s="49"/>
      <c r="E60" s="50"/>
      <c r="F60" s="51"/>
    </row>
    <row r="61" spans="1:6" ht="15" customHeight="1" thickBot="1">
      <c r="A61" s="48">
        <v>56</v>
      </c>
      <c r="B61" s="142"/>
      <c r="C61" s="52"/>
      <c r="D61" s="52"/>
      <c r="E61" s="53"/>
      <c r="F61" s="54"/>
    </row>
    <row r="62" spans="1:6" ht="15" customHeight="1">
      <c r="A62" s="48">
        <v>57</v>
      </c>
      <c r="B62" s="137"/>
      <c r="C62" s="138"/>
      <c r="D62" s="138"/>
      <c r="E62" s="139"/>
      <c r="F62" s="140"/>
    </row>
    <row r="63" spans="1:6" ht="15" customHeight="1">
      <c r="A63" s="48">
        <v>58</v>
      </c>
      <c r="B63" s="141"/>
      <c r="C63" s="49"/>
      <c r="D63" s="49"/>
      <c r="E63" s="50"/>
      <c r="F63" s="51"/>
    </row>
    <row r="64" spans="1:6" ht="15" customHeight="1">
      <c r="A64" s="48">
        <v>59</v>
      </c>
      <c r="B64" s="141"/>
      <c r="C64" s="49"/>
      <c r="D64" s="49"/>
      <c r="E64" s="50"/>
      <c r="F64" s="51"/>
    </row>
    <row r="65" spans="1:6" ht="15" customHeight="1" thickBot="1">
      <c r="A65" s="48">
        <v>60</v>
      </c>
      <c r="B65" s="142"/>
      <c r="C65" s="52"/>
      <c r="D65" s="52"/>
      <c r="E65" s="53"/>
      <c r="F65" s="54"/>
    </row>
    <row r="66" spans="1:6" ht="15" customHeight="1">
      <c r="A66" s="48">
        <v>61</v>
      </c>
      <c r="B66" s="137"/>
      <c r="C66" s="138"/>
      <c r="D66" s="138"/>
      <c r="E66" s="139"/>
      <c r="F66" s="140"/>
    </row>
    <row r="67" spans="1:6" ht="15" customHeight="1">
      <c r="A67" s="48">
        <v>62</v>
      </c>
      <c r="B67" s="141"/>
      <c r="C67" s="49"/>
      <c r="D67" s="49"/>
      <c r="E67" s="50"/>
      <c r="F67" s="51"/>
    </row>
    <row r="68" spans="1:6" ht="15" customHeight="1">
      <c r="A68" s="48">
        <v>63</v>
      </c>
      <c r="B68" s="141"/>
      <c r="C68" s="49"/>
      <c r="D68" s="49"/>
      <c r="E68" s="50"/>
      <c r="F68" s="51"/>
    </row>
    <row r="69" spans="1:6" ht="15" customHeight="1" thickBot="1">
      <c r="A69" s="48">
        <v>64</v>
      </c>
      <c r="B69" s="142"/>
      <c r="C69" s="52"/>
      <c r="D69" s="52"/>
      <c r="E69" s="53"/>
      <c r="F69" s="54"/>
    </row>
    <row r="70" spans="1:6" ht="15" customHeight="1">
      <c r="A70" s="48">
        <v>65</v>
      </c>
      <c r="B70" s="137"/>
      <c r="C70" s="138"/>
      <c r="D70" s="138"/>
      <c r="E70" s="139"/>
      <c r="F70" s="140"/>
    </row>
    <row r="71" spans="1:6" ht="15" customHeight="1">
      <c r="A71" s="48">
        <v>66</v>
      </c>
      <c r="B71" s="141"/>
      <c r="C71" s="49"/>
      <c r="D71" s="49"/>
      <c r="E71" s="50"/>
      <c r="F71" s="51"/>
    </row>
    <row r="72" spans="1:6" ht="15" customHeight="1">
      <c r="A72" s="48">
        <v>67</v>
      </c>
      <c r="B72" s="141"/>
      <c r="C72" s="49"/>
      <c r="D72" s="49"/>
      <c r="E72" s="50"/>
      <c r="F72" s="51"/>
    </row>
    <row r="73" spans="1:6" ht="15" customHeight="1" thickBot="1">
      <c r="A73" s="48">
        <v>68</v>
      </c>
      <c r="B73" s="142"/>
      <c r="C73" s="52"/>
      <c r="D73" s="52"/>
      <c r="E73" s="53"/>
      <c r="F73" s="54"/>
    </row>
    <row r="74" spans="1:6" ht="15" customHeight="1">
      <c r="A74" s="48">
        <v>69</v>
      </c>
      <c r="B74" s="137"/>
      <c r="C74" s="138"/>
      <c r="D74" s="138"/>
      <c r="E74" s="139"/>
      <c r="F74" s="140"/>
    </row>
    <row r="75" spans="1:6" ht="15" customHeight="1">
      <c r="A75" s="48">
        <v>70</v>
      </c>
      <c r="B75" s="141"/>
      <c r="C75" s="49"/>
      <c r="D75" s="49"/>
      <c r="E75" s="50"/>
      <c r="F75" s="51"/>
    </row>
    <row r="76" spans="1:6" ht="15" customHeight="1">
      <c r="A76" s="48">
        <v>71</v>
      </c>
      <c r="B76" s="141"/>
      <c r="C76" s="49"/>
      <c r="D76" s="49"/>
      <c r="E76" s="50"/>
      <c r="F76" s="51"/>
    </row>
    <row r="77" spans="1:6" ht="15" customHeight="1" thickBot="1">
      <c r="A77" s="48">
        <v>72</v>
      </c>
      <c r="B77" s="142"/>
      <c r="C77" s="52"/>
      <c r="D77" s="52"/>
      <c r="E77" s="53"/>
      <c r="F77" s="54"/>
    </row>
    <row r="78" spans="1:6" ht="15" customHeight="1">
      <c r="A78" s="48">
        <v>73</v>
      </c>
      <c r="B78" s="137"/>
      <c r="C78" s="138"/>
      <c r="D78" s="138"/>
      <c r="E78" s="139"/>
      <c r="F78" s="140"/>
    </row>
    <row r="79" spans="1:6" ht="15" customHeight="1">
      <c r="A79" s="48">
        <v>74</v>
      </c>
      <c r="B79" s="141"/>
      <c r="C79" s="49"/>
      <c r="D79" s="49"/>
      <c r="E79" s="50"/>
      <c r="F79" s="51"/>
    </row>
    <row r="80" spans="1:6" ht="15" customHeight="1">
      <c r="A80" s="48">
        <v>75</v>
      </c>
      <c r="B80" s="141"/>
      <c r="C80" s="49"/>
      <c r="D80" s="49"/>
      <c r="E80" s="50"/>
      <c r="F80" s="51"/>
    </row>
    <row r="81" spans="1:6" ht="15" customHeight="1" thickBot="1">
      <c r="A81" s="48">
        <v>76</v>
      </c>
      <c r="B81" s="142"/>
      <c r="C81" s="52"/>
      <c r="D81" s="52"/>
      <c r="E81" s="53"/>
      <c r="F81" s="54"/>
    </row>
    <row r="82" spans="1:6" ht="15" customHeight="1">
      <c r="A82" s="48">
        <v>77</v>
      </c>
      <c r="B82" s="137"/>
      <c r="C82" s="138"/>
      <c r="D82" s="138"/>
      <c r="E82" s="139"/>
      <c r="F82" s="140"/>
    </row>
    <row r="83" spans="1:6" ht="15" customHeight="1">
      <c r="A83" s="48">
        <v>78</v>
      </c>
      <c r="B83" s="141"/>
      <c r="C83" s="49"/>
      <c r="D83" s="49"/>
      <c r="E83" s="50"/>
      <c r="F83" s="51"/>
    </row>
    <row r="84" spans="1:6" ht="15" customHeight="1">
      <c r="A84" s="48">
        <v>79</v>
      </c>
      <c r="B84" s="141"/>
      <c r="C84" s="49"/>
      <c r="D84" s="49"/>
      <c r="E84" s="50"/>
      <c r="F84" s="51"/>
    </row>
    <row r="85" spans="1:6" ht="15" customHeight="1" thickBot="1">
      <c r="A85" s="48">
        <v>80</v>
      </c>
      <c r="B85" s="142"/>
      <c r="C85" s="52"/>
      <c r="D85" s="52"/>
      <c r="E85" s="53"/>
      <c r="F85" s="54"/>
    </row>
    <row r="86" spans="1:6" ht="15" customHeight="1">
      <c r="A86" s="48">
        <v>81</v>
      </c>
      <c r="B86" s="137"/>
      <c r="C86" s="138"/>
      <c r="D86" s="138"/>
      <c r="E86" s="139"/>
      <c r="F86" s="140"/>
    </row>
    <row r="87" spans="1:6" ht="15" customHeight="1">
      <c r="A87" s="48">
        <v>82</v>
      </c>
      <c r="B87" s="141"/>
      <c r="C87" s="49"/>
      <c r="D87" s="49"/>
      <c r="E87" s="50"/>
      <c r="F87" s="51"/>
    </row>
    <row r="88" spans="1:6" ht="15" customHeight="1">
      <c r="A88" s="48">
        <v>83</v>
      </c>
      <c r="B88" s="141"/>
      <c r="C88" s="49"/>
      <c r="D88" s="49"/>
      <c r="E88" s="50"/>
      <c r="F88" s="51"/>
    </row>
    <row r="89" spans="1:6" ht="15" customHeight="1" thickBot="1">
      <c r="A89" s="48">
        <v>84</v>
      </c>
      <c r="B89" s="142"/>
      <c r="C89" s="52"/>
      <c r="D89" s="52"/>
      <c r="E89" s="53"/>
      <c r="F89" s="54"/>
    </row>
    <row r="90" spans="1:6" ht="15" customHeight="1">
      <c r="A90" s="48">
        <v>85</v>
      </c>
      <c r="B90" s="137"/>
      <c r="C90" s="138"/>
      <c r="D90" s="138"/>
      <c r="E90" s="139"/>
      <c r="F90" s="140"/>
    </row>
    <row r="91" spans="1:6" ht="15" customHeight="1">
      <c r="A91" s="48">
        <v>86</v>
      </c>
      <c r="B91" s="141"/>
      <c r="C91" s="49"/>
      <c r="D91" s="49"/>
      <c r="E91" s="50"/>
      <c r="F91" s="51"/>
    </row>
    <row r="92" spans="1:6" ht="15" customHeight="1">
      <c r="A92" s="48">
        <v>87</v>
      </c>
      <c r="B92" s="141"/>
      <c r="C92" s="49"/>
      <c r="D92" s="49"/>
      <c r="E92" s="50"/>
      <c r="F92" s="51"/>
    </row>
    <row r="93" spans="1:6" ht="15" customHeight="1" thickBot="1">
      <c r="A93" s="48">
        <v>88</v>
      </c>
      <c r="B93" s="142"/>
      <c r="C93" s="52"/>
      <c r="D93" s="52"/>
      <c r="E93" s="53"/>
      <c r="F93" s="54"/>
    </row>
    <row r="94" spans="1:6" ht="15" customHeight="1">
      <c r="A94" s="48">
        <v>89</v>
      </c>
      <c r="B94" s="137"/>
      <c r="C94" s="138"/>
      <c r="D94" s="138"/>
      <c r="E94" s="139"/>
      <c r="F94" s="140"/>
    </row>
    <row r="95" spans="1:6" ht="15" customHeight="1">
      <c r="A95" s="48">
        <v>90</v>
      </c>
      <c r="B95" s="141"/>
      <c r="C95" s="49"/>
      <c r="D95" s="49"/>
      <c r="E95" s="50"/>
      <c r="F95" s="51"/>
    </row>
    <row r="96" spans="1:6" ht="15" customHeight="1">
      <c r="A96" s="48">
        <v>91</v>
      </c>
      <c r="B96" s="141"/>
      <c r="C96" s="49"/>
      <c r="D96" s="49"/>
      <c r="E96" s="50"/>
      <c r="F96" s="51"/>
    </row>
    <row r="97" spans="1:6" ht="15" customHeight="1" thickBot="1">
      <c r="A97" s="48">
        <v>92</v>
      </c>
      <c r="B97" s="142"/>
      <c r="C97" s="52"/>
      <c r="D97" s="52"/>
      <c r="E97" s="53"/>
      <c r="F97" s="54"/>
    </row>
    <row r="98" spans="1:6" ht="15" customHeight="1">
      <c r="A98" s="48">
        <v>93</v>
      </c>
      <c r="B98" s="137"/>
      <c r="C98" s="138"/>
      <c r="D98" s="138"/>
      <c r="E98" s="139"/>
      <c r="F98" s="140"/>
    </row>
    <row r="99" spans="1:6" ht="15" customHeight="1">
      <c r="A99" s="48">
        <v>94</v>
      </c>
      <c r="B99" s="141"/>
      <c r="C99" s="49"/>
      <c r="D99" s="49"/>
      <c r="E99" s="50"/>
      <c r="F99" s="51"/>
    </row>
    <row r="100" spans="1:6" ht="15" customHeight="1">
      <c r="A100" s="48">
        <v>95</v>
      </c>
      <c r="B100" s="141"/>
      <c r="C100" s="49"/>
      <c r="D100" s="49"/>
      <c r="E100" s="50"/>
      <c r="F100" s="51"/>
    </row>
    <row r="101" spans="1:6" ht="15" customHeight="1" thickBot="1">
      <c r="A101" s="48">
        <v>96</v>
      </c>
      <c r="B101" s="142"/>
      <c r="C101" s="52"/>
      <c r="D101" s="52"/>
      <c r="E101" s="53"/>
      <c r="F101" s="54"/>
    </row>
    <row r="102" spans="1:6" ht="15" customHeight="1">
      <c r="A102" s="48">
        <v>97</v>
      </c>
      <c r="B102" s="137"/>
      <c r="C102" s="138"/>
      <c r="D102" s="138"/>
      <c r="E102" s="139"/>
      <c r="F102" s="140"/>
    </row>
    <row r="103" spans="1:6" ht="15" customHeight="1">
      <c r="A103" s="48">
        <v>98</v>
      </c>
      <c r="B103" s="141"/>
      <c r="C103" s="49"/>
      <c r="D103" s="49"/>
      <c r="E103" s="50"/>
      <c r="F103" s="51"/>
    </row>
    <row r="104" spans="1:6" ht="15" customHeight="1">
      <c r="A104" s="48">
        <v>99</v>
      </c>
      <c r="B104" s="141"/>
      <c r="C104" s="49"/>
      <c r="D104" s="49"/>
      <c r="E104" s="50"/>
      <c r="F104" s="51"/>
    </row>
    <row r="105" spans="1:6" ht="15" customHeight="1" thickBot="1">
      <c r="A105" s="48">
        <v>100</v>
      </c>
      <c r="B105" s="142"/>
      <c r="C105" s="52"/>
      <c r="D105" s="52"/>
      <c r="E105" s="53"/>
      <c r="F105" s="54"/>
    </row>
    <row r="106" spans="1:6" ht="15" customHeight="1">
      <c r="A106" s="48">
        <v>101</v>
      </c>
      <c r="B106" s="137"/>
      <c r="C106" s="138"/>
      <c r="D106" s="138"/>
      <c r="E106" s="139"/>
      <c r="F106" s="140"/>
    </row>
    <row r="107" spans="1:6" ht="15" customHeight="1">
      <c r="A107" s="48">
        <v>102</v>
      </c>
      <c r="B107" s="141"/>
      <c r="C107" s="49"/>
      <c r="D107" s="49"/>
      <c r="E107" s="50"/>
      <c r="F107" s="51"/>
    </row>
    <row r="108" spans="1:6" ht="15" customHeight="1">
      <c r="A108" s="48">
        <v>103</v>
      </c>
      <c r="B108" s="141"/>
      <c r="C108" s="49"/>
      <c r="D108" s="49"/>
      <c r="E108" s="50"/>
      <c r="F108" s="51"/>
    </row>
    <row r="109" spans="1:6" ht="15" customHeight="1" thickBot="1">
      <c r="A109" s="48">
        <v>104</v>
      </c>
      <c r="B109" s="142"/>
      <c r="C109" s="52"/>
      <c r="D109" s="52"/>
      <c r="E109" s="53"/>
      <c r="F109" s="54"/>
    </row>
    <row r="110" spans="1:6" ht="15" customHeight="1">
      <c r="A110" s="48">
        <v>105</v>
      </c>
      <c r="B110" s="137"/>
      <c r="C110" s="138"/>
      <c r="D110" s="138"/>
      <c r="E110" s="139"/>
      <c r="F110" s="140"/>
    </row>
    <row r="111" spans="1:6" ht="15" customHeight="1">
      <c r="A111" s="48">
        <v>106</v>
      </c>
      <c r="B111" s="141"/>
      <c r="C111" s="49"/>
      <c r="D111" s="49"/>
      <c r="E111" s="50"/>
      <c r="F111" s="51"/>
    </row>
    <row r="112" spans="1:6" ht="15" customHeight="1">
      <c r="A112" s="48">
        <v>107</v>
      </c>
      <c r="B112" s="141"/>
      <c r="C112" s="49"/>
      <c r="D112" s="49"/>
      <c r="E112" s="50"/>
      <c r="F112" s="51"/>
    </row>
    <row r="113" spans="1:6" ht="15" customHeight="1" thickBot="1">
      <c r="A113" s="48">
        <v>108</v>
      </c>
      <c r="B113" s="142"/>
      <c r="C113" s="52"/>
      <c r="D113" s="52"/>
      <c r="E113" s="53"/>
      <c r="F113" s="54"/>
    </row>
    <row r="114" spans="1:6" ht="15" customHeight="1">
      <c r="A114" s="48">
        <v>109</v>
      </c>
      <c r="B114" s="137"/>
      <c r="C114" s="138"/>
      <c r="D114" s="138"/>
      <c r="E114" s="139"/>
      <c r="F114" s="140"/>
    </row>
    <row r="115" spans="1:6" ht="15" customHeight="1">
      <c r="A115" s="48">
        <v>110</v>
      </c>
      <c r="B115" s="141"/>
      <c r="C115" s="49"/>
      <c r="D115" s="49"/>
      <c r="E115" s="50"/>
      <c r="F115" s="51"/>
    </row>
    <row r="116" spans="1:6" ht="15" customHeight="1">
      <c r="A116" s="48">
        <v>111</v>
      </c>
      <c r="B116" s="141"/>
      <c r="C116" s="49"/>
      <c r="D116" s="49"/>
      <c r="E116" s="50"/>
      <c r="F116" s="51"/>
    </row>
    <row r="117" spans="1:6" ht="15" customHeight="1" thickBot="1">
      <c r="A117" s="48">
        <v>112</v>
      </c>
      <c r="B117" s="142"/>
      <c r="C117" s="52"/>
      <c r="D117" s="52"/>
      <c r="E117" s="53"/>
      <c r="F117" s="54"/>
    </row>
    <row r="118" spans="1:6" ht="15" customHeight="1">
      <c r="A118" s="48">
        <v>113</v>
      </c>
      <c r="B118" s="137"/>
      <c r="C118" s="138"/>
      <c r="D118" s="138"/>
      <c r="E118" s="139"/>
      <c r="F118" s="140"/>
    </row>
    <row r="119" spans="1:6" ht="15" customHeight="1">
      <c r="A119" s="48">
        <v>114</v>
      </c>
      <c r="B119" s="141"/>
      <c r="C119" s="49"/>
      <c r="D119" s="49"/>
      <c r="E119" s="50"/>
      <c r="F119" s="51"/>
    </row>
    <row r="120" spans="1:6" ht="15" customHeight="1">
      <c r="A120" s="48">
        <v>115</v>
      </c>
      <c r="B120" s="141"/>
      <c r="C120" s="49"/>
      <c r="D120" s="49"/>
      <c r="E120" s="50"/>
      <c r="F120" s="51"/>
    </row>
    <row r="121" spans="1:6" ht="15" customHeight="1" thickBot="1">
      <c r="A121" s="48">
        <v>116</v>
      </c>
      <c r="B121" s="142"/>
      <c r="C121" s="52"/>
      <c r="D121" s="52"/>
      <c r="E121" s="53"/>
      <c r="F121" s="54"/>
    </row>
    <row r="122" spans="1:6" ht="15" customHeight="1">
      <c r="A122" s="48">
        <v>117</v>
      </c>
      <c r="B122" s="137"/>
      <c r="C122" s="138"/>
      <c r="D122" s="138"/>
      <c r="E122" s="139"/>
      <c r="F122" s="140"/>
    </row>
    <row r="123" spans="1:6" ht="15" customHeight="1">
      <c r="A123" s="48">
        <v>118</v>
      </c>
      <c r="B123" s="141"/>
      <c r="C123" s="49"/>
      <c r="D123" s="49"/>
      <c r="E123" s="50"/>
      <c r="F123" s="51"/>
    </row>
    <row r="124" spans="1:6" ht="15" customHeight="1">
      <c r="A124" s="48">
        <v>119</v>
      </c>
      <c r="B124" s="141"/>
      <c r="C124" s="49"/>
      <c r="D124" s="49"/>
      <c r="E124" s="50"/>
      <c r="F124" s="51"/>
    </row>
    <row r="125" spans="1:6" ht="15" customHeight="1" thickBot="1">
      <c r="A125" s="48">
        <v>120</v>
      </c>
      <c r="B125" s="142"/>
      <c r="C125" s="52"/>
      <c r="D125" s="52"/>
      <c r="E125" s="53"/>
      <c r="F125" s="54"/>
    </row>
    <row r="126" spans="1:6" ht="15" customHeight="1">
      <c r="A126" s="48">
        <v>121</v>
      </c>
      <c r="B126" s="137"/>
      <c r="C126" s="138"/>
      <c r="D126" s="138"/>
      <c r="E126" s="139"/>
      <c r="F126" s="140"/>
    </row>
    <row r="127" spans="1:6" ht="15" customHeight="1">
      <c r="A127" s="48">
        <v>122</v>
      </c>
      <c r="B127" s="141"/>
      <c r="C127" s="49"/>
      <c r="D127" s="49"/>
      <c r="E127" s="50"/>
      <c r="F127" s="51"/>
    </row>
    <row r="128" spans="1:6" ht="15" customHeight="1">
      <c r="A128" s="48">
        <v>123</v>
      </c>
      <c r="B128" s="141"/>
      <c r="C128" s="49"/>
      <c r="D128" s="49"/>
      <c r="E128" s="50"/>
      <c r="F128" s="51"/>
    </row>
    <row r="129" spans="1:6" ht="15" customHeight="1" thickBot="1">
      <c r="A129" s="48">
        <v>124</v>
      </c>
      <c r="B129" s="142"/>
      <c r="C129" s="52"/>
      <c r="D129" s="52"/>
      <c r="E129" s="53"/>
      <c r="F129" s="54"/>
    </row>
    <row r="130" spans="1:6" ht="15" customHeight="1">
      <c r="A130" s="48">
        <v>125</v>
      </c>
      <c r="B130" s="137"/>
      <c r="C130" s="138"/>
      <c r="D130" s="138"/>
      <c r="E130" s="139"/>
      <c r="F130" s="140"/>
    </row>
    <row r="131" spans="1:6" ht="15" customHeight="1">
      <c r="A131" s="48">
        <v>126</v>
      </c>
      <c r="B131" s="141"/>
      <c r="C131" s="49"/>
      <c r="D131" s="49"/>
      <c r="E131" s="50"/>
      <c r="F131" s="51"/>
    </row>
    <row r="132" spans="1:6" ht="15" customHeight="1">
      <c r="A132" s="48">
        <v>127</v>
      </c>
      <c r="B132" s="141"/>
      <c r="C132" s="49"/>
      <c r="D132" s="49"/>
      <c r="E132" s="50"/>
      <c r="F132" s="51"/>
    </row>
    <row r="133" spans="1:6" ht="15" customHeight="1" thickBot="1">
      <c r="A133" s="48">
        <v>128</v>
      </c>
      <c r="B133" s="142"/>
      <c r="C133" s="52"/>
      <c r="D133" s="52"/>
      <c r="E133" s="53"/>
      <c r="F133" s="54"/>
    </row>
    <row r="134" spans="1:6" ht="15" customHeight="1">
      <c r="A134" s="48">
        <v>129</v>
      </c>
      <c r="B134" s="137"/>
      <c r="C134" s="138"/>
      <c r="D134" s="138"/>
      <c r="E134" s="139"/>
      <c r="F134" s="140"/>
    </row>
    <row r="135" spans="1:6" ht="15" customHeight="1">
      <c r="A135" s="48">
        <v>130</v>
      </c>
      <c r="B135" s="141"/>
      <c r="C135" s="49"/>
      <c r="D135" s="49"/>
      <c r="E135" s="50"/>
      <c r="F135" s="51"/>
    </row>
    <row r="136" spans="1:6" ht="15" customHeight="1">
      <c r="A136" s="48">
        <v>131</v>
      </c>
      <c r="B136" s="141"/>
      <c r="C136" s="49"/>
      <c r="D136" s="49"/>
      <c r="E136" s="50"/>
      <c r="F136" s="51"/>
    </row>
    <row r="137" spans="1:6" ht="15" customHeight="1" thickBot="1">
      <c r="A137" s="48">
        <v>132</v>
      </c>
      <c r="B137" s="142"/>
      <c r="C137" s="52"/>
      <c r="D137" s="52"/>
      <c r="E137" s="53"/>
      <c r="F137" s="54"/>
    </row>
    <row r="138" spans="1:6" ht="15" customHeight="1">
      <c r="A138" s="48">
        <v>133</v>
      </c>
      <c r="B138" s="137"/>
      <c r="C138" s="138"/>
      <c r="D138" s="138"/>
      <c r="E138" s="139"/>
      <c r="F138" s="140"/>
    </row>
    <row r="139" spans="1:6" ht="15" customHeight="1">
      <c r="A139" s="48">
        <v>134</v>
      </c>
      <c r="B139" s="141"/>
      <c r="C139" s="49"/>
      <c r="D139" s="49"/>
      <c r="E139" s="50"/>
      <c r="F139" s="51"/>
    </row>
    <row r="140" spans="1:6" ht="15" customHeight="1">
      <c r="A140" s="48">
        <v>135</v>
      </c>
      <c r="B140" s="141"/>
      <c r="C140" s="49"/>
      <c r="D140" s="49"/>
      <c r="E140" s="50"/>
      <c r="F140" s="51"/>
    </row>
    <row r="141" spans="1:6" ht="15" customHeight="1" thickBot="1">
      <c r="A141" s="48">
        <v>136</v>
      </c>
      <c r="B141" s="142"/>
      <c r="C141" s="52"/>
      <c r="D141" s="52"/>
      <c r="E141" s="53"/>
      <c r="F141" s="54"/>
    </row>
    <row r="142" spans="1:6" ht="15" customHeight="1">
      <c r="A142" s="48">
        <v>137</v>
      </c>
      <c r="B142" s="137"/>
      <c r="C142" s="138"/>
      <c r="D142" s="138"/>
      <c r="E142" s="139"/>
      <c r="F142" s="140"/>
    </row>
    <row r="143" spans="1:6" ht="15" customHeight="1">
      <c r="A143" s="48">
        <v>138</v>
      </c>
      <c r="B143" s="141"/>
      <c r="C143" s="49"/>
      <c r="D143" s="49"/>
      <c r="E143" s="50"/>
      <c r="F143" s="51"/>
    </row>
    <row r="144" spans="1:6" ht="15" customHeight="1">
      <c r="A144" s="48">
        <v>139</v>
      </c>
      <c r="B144" s="141"/>
      <c r="C144" s="49"/>
      <c r="D144" s="49"/>
      <c r="E144" s="50"/>
      <c r="F144" s="51"/>
    </row>
    <row r="145" spans="1:6" ht="15" customHeight="1" thickBot="1">
      <c r="A145" s="48">
        <v>140</v>
      </c>
      <c r="B145" s="142"/>
      <c r="C145" s="52"/>
      <c r="D145" s="52"/>
      <c r="E145" s="53"/>
      <c r="F145" s="54"/>
    </row>
    <row r="146" spans="1:6" ht="15" customHeight="1">
      <c r="A146" s="48">
        <v>141</v>
      </c>
      <c r="B146" s="137"/>
      <c r="C146" s="138"/>
      <c r="D146" s="138"/>
      <c r="E146" s="139"/>
      <c r="F146" s="140"/>
    </row>
    <row r="147" spans="1:6" ht="15" customHeight="1">
      <c r="A147" s="48">
        <v>142</v>
      </c>
      <c r="B147" s="141"/>
      <c r="C147" s="49"/>
      <c r="D147" s="49"/>
      <c r="E147" s="50"/>
      <c r="F147" s="51"/>
    </row>
    <row r="148" spans="1:6" ht="15" customHeight="1">
      <c r="A148" s="48">
        <v>143</v>
      </c>
      <c r="B148" s="141"/>
      <c r="C148" s="49"/>
      <c r="D148" s="49"/>
      <c r="E148" s="50"/>
      <c r="F148" s="51"/>
    </row>
    <row r="149" spans="1:6" ht="15" customHeight="1" thickBot="1">
      <c r="A149" s="48">
        <v>144</v>
      </c>
      <c r="B149" s="142"/>
      <c r="C149" s="52"/>
      <c r="D149" s="52"/>
      <c r="E149" s="53"/>
      <c r="F149" s="54"/>
    </row>
    <row r="150" spans="1:6" ht="15" customHeight="1">
      <c r="A150" s="48">
        <v>145</v>
      </c>
      <c r="B150" s="137"/>
      <c r="C150" s="138"/>
      <c r="D150" s="138"/>
      <c r="E150" s="139"/>
      <c r="F150" s="140"/>
    </row>
    <row r="151" spans="1:6" ht="15" customHeight="1">
      <c r="A151" s="48">
        <v>146</v>
      </c>
      <c r="B151" s="141"/>
      <c r="C151" s="49"/>
      <c r="D151" s="49"/>
      <c r="E151" s="50"/>
      <c r="F151" s="51"/>
    </row>
    <row r="152" spans="1:6" ht="15" customHeight="1">
      <c r="A152" s="48">
        <v>147</v>
      </c>
      <c r="B152" s="141"/>
      <c r="C152" s="49"/>
      <c r="D152" s="49"/>
      <c r="E152" s="50"/>
      <c r="F152" s="51"/>
    </row>
    <row r="153" spans="1:6" ht="15" customHeight="1" thickBot="1">
      <c r="A153" s="48">
        <v>148</v>
      </c>
      <c r="B153" s="142"/>
      <c r="C153" s="52"/>
      <c r="D153" s="52"/>
      <c r="E153" s="53"/>
      <c r="F153" s="54"/>
    </row>
    <row r="154" spans="1:6" ht="15" customHeight="1">
      <c r="A154" s="48">
        <v>149</v>
      </c>
      <c r="B154" s="137"/>
      <c r="C154" s="138"/>
      <c r="D154" s="138"/>
      <c r="E154" s="139"/>
      <c r="F154" s="140"/>
    </row>
    <row r="155" spans="1:6" ht="15" customHeight="1">
      <c r="A155" s="48">
        <v>150</v>
      </c>
      <c r="B155" s="141"/>
      <c r="C155" s="49"/>
      <c r="D155" s="49"/>
      <c r="E155" s="50"/>
      <c r="F155" s="51"/>
    </row>
    <row r="156" spans="1:6" ht="15" customHeight="1">
      <c r="A156" s="48">
        <v>151</v>
      </c>
      <c r="B156" s="141"/>
      <c r="C156" s="49"/>
      <c r="D156" s="49"/>
      <c r="E156" s="50"/>
      <c r="F156" s="51"/>
    </row>
    <row r="157" spans="1:6" ht="15" customHeight="1" thickBot="1">
      <c r="A157" s="48">
        <v>152</v>
      </c>
      <c r="B157" s="142"/>
      <c r="C157" s="52"/>
      <c r="D157" s="52"/>
      <c r="E157" s="53"/>
      <c r="F157" s="54"/>
    </row>
    <row r="158" spans="1:6" ht="15" customHeight="1">
      <c r="A158" s="48">
        <v>153</v>
      </c>
      <c r="B158" s="137"/>
      <c r="C158" s="138"/>
      <c r="D158" s="138"/>
      <c r="E158" s="139"/>
      <c r="F158" s="140"/>
    </row>
    <row r="159" spans="1:6" ht="15" customHeight="1">
      <c r="A159" s="48">
        <v>154</v>
      </c>
      <c r="B159" s="141"/>
      <c r="C159" s="49"/>
      <c r="D159" s="49"/>
      <c r="E159" s="50"/>
      <c r="F159" s="51"/>
    </row>
    <row r="160" spans="1:6" ht="15" customHeight="1">
      <c r="A160" s="48">
        <v>155</v>
      </c>
      <c r="B160" s="141"/>
      <c r="C160" s="49"/>
      <c r="D160" s="49"/>
      <c r="E160" s="50"/>
      <c r="F160" s="51"/>
    </row>
    <row r="161" spans="1:6" ht="15" customHeight="1" thickBot="1">
      <c r="A161" s="48">
        <v>156</v>
      </c>
      <c r="B161" s="142"/>
      <c r="C161" s="52"/>
      <c r="D161" s="52"/>
      <c r="E161" s="53"/>
      <c r="F161" s="54"/>
    </row>
    <row r="162" spans="1:6" ht="15" customHeight="1">
      <c r="A162" s="48">
        <v>157</v>
      </c>
      <c r="B162" s="137"/>
      <c r="C162" s="138"/>
      <c r="D162" s="138"/>
      <c r="E162" s="139"/>
      <c r="F162" s="140"/>
    </row>
    <row r="163" spans="1:6" ht="15" customHeight="1">
      <c r="A163" s="48">
        <v>158</v>
      </c>
      <c r="B163" s="141"/>
      <c r="C163" s="49"/>
      <c r="D163" s="49"/>
      <c r="E163" s="50"/>
      <c r="F163" s="51"/>
    </row>
    <row r="164" spans="1:6" ht="15" customHeight="1">
      <c r="A164" s="48">
        <v>159</v>
      </c>
      <c r="B164" s="141"/>
      <c r="C164" s="49"/>
      <c r="D164" s="49"/>
      <c r="E164" s="50"/>
      <c r="F164" s="51"/>
    </row>
    <row r="165" spans="1:6" ht="15" customHeight="1" thickBot="1">
      <c r="A165" s="48">
        <v>160</v>
      </c>
      <c r="B165" s="142"/>
      <c r="C165" s="52"/>
      <c r="D165" s="52"/>
      <c r="E165" s="53"/>
      <c r="F165" s="54"/>
    </row>
    <row r="166" spans="1:6" ht="15" customHeight="1">
      <c r="A166" s="48">
        <v>161</v>
      </c>
      <c r="B166" s="137"/>
      <c r="C166" s="138"/>
      <c r="D166" s="138"/>
      <c r="E166" s="139"/>
      <c r="F166" s="140"/>
    </row>
    <row r="167" spans="1:6" ht="15" customHeight="1">
      <c r="A167" s="48">
        <v>162</v>
      </c>
      <c r="B167" s="141"/>
      <c r="C167" s="49"/>
      <c r="D167" s="49"/>
      <c r="E167" s="50"/>
      <c r="F167" s="51"/>
    </row>
    <row r="168" spans="1:6" ht="15" customHeight="1">
      <c r="A168" s="48">
        <v>163</v>
      </c>
      <c r="B168" s="141"/>
      <c r="C168" s="49"/>
      <c r="D168" s="49"/>
      <c r="E168" s="50"/>
      <c r="F168" s="51"/>
    </row>
    <row r="169" spans="1:6" ht="15" customHeight="1" thickBot="1">
      <c r="A169" s="48">
        <v>164</v>
      </c>
      <c r="B169" s="142"/>
      <c r="C169" s="52"/>
      <c r="D169" s="52"/>
      <c r="E169" s="53"/>
      <c r="F169" s="54"/>
    </row>
    <row r="170" spans="1:6" ht="15" customHeight="1">
      <c r="A170" s="48">
        <v>165</v>
      </c>
      <c r="B170" s="137"/>
      <c r="C170" s="138"/>
      <c r="D170" s="138"/>
      <c r="E170" s="139"/>
      <c r="F170" s="140"/>
    </row>
    <row r="171" spans="1:6" ht="15" customHeight="1">
      <c r="A171" s="48">
        <v>166</v>
      </c>
      <c r="B171" s="141"/>
      <c r="C171" s="49"/>
      <c r="D171" s="49"/>
      <c r="E171" s="50"/>
      <c r="F171" s="51"/>
    </row>
    <row r="172" spans="1:6" ht="15" customHeight="1">
      <c r="A172" s="48">
        <v>167</v>
      </c>
      <c r="B172" s="141"/>
      <c r="C172" s="49"/>
      <c r="D172" s="49"/>
      <c r="E172" s="50"/>
      <c r="F172" s="51"/>
    </row>
    <row r="173" spans="1:6" ht="15" customHeight="1" thickBot="1">
      <c r="A173" s="48">
        <v>168</v>
      </c>
      <c r="B173" s="142"/>
      <c r="C173" s="52"/>
      <c r="D173" s="52"/>
      <c r="E173" s="53"/>
      <c r="F173" s="54"/>
    </row>
    <row r="174" spans="1:6" ht="15" customHeight="1">
      <c r="A174" s="48">
        <v>169</v>
      </c>
      <c r="B174" s="137"/>
      <c r="C174" s="138"/>
      <c r="D174" s="138"/>
      <c r="E174" s="139"/>
      <c r="F174" s="140"/>
    </row>
    <row r="175" spans="1:6" ht="15" customHeight="1">
      <c r="A175" s="48">
        <v>170</v>
      </c>
      <c r="B175" s="141"/>
      <c r="C175" s="49"/>
      <c r="D175" s="49"/>
      <c r="E175" s="50"/>
      <c r="F175" s="51"/>
    </row>
    <row r="176" spans="1:6" ht="15" customHeight="1">
      <c r="A176" s="48">
        <v>171</v>
      </c>
      <c r="B176" s="141"/>
      <c r="C176" s="49"/>
      <c r="D176" s="49"/>
      <c r="E176" s="50"/>
      <c r="F176" s="51"/>
    </row>
    <row r="177" spans="1:6" ht="15" customHeight="1" thickBot="1">
      <c r="A177" s="48">
        <v>172</v>
      </c>
      <c r="B177" s="142"/>
      <c r="C177" s="52"/>
      <c r="D177" s="52"/>
      <c r="E177" s="53"/>
      <c r="F177" s="54"/>
    </row>
    <row r="178" spans="1:6" ht="15" customHeight="1">
      <c r="A178" s="48">
        <v>173</v>
      </c>
      <c r="B178" s="137"/>
      <c r="C178" s="138"/>
      <c r="D178" s="138"/>
      <c r="E178" s="139"/>
      <c r="F178" s="140"/>
    </row>
    <row r="179" spans="1:6" ht="15" customHeight="1">
      <c r="A179" s="48">
        <v>174</v>
      </c>
      <c r="B179" s="141"/>
      <c r="C179" s="49"/>
      <c r="D179" s="49"/>
      <c r="E179" s="50"/>
      <c r="F179" s="51"/>
    </row>
    <row r="180" spans="1:6" ht="15" customHeight="1">
      <c r="A180" s="48">
        <v>175</v>
      </c>
      <c r="B180" s="141"/>
      <c r="C180" s="49"/>
      <c r="D180" s="49"/>
      <c r="E180" s="50"/>
      <c r="F180" s="51"/>
    </row>
    <row r="181" spans="1:6" ht="15" customHeight="1" thickBot="1">
      <c r="A181" s="48">
        <v>176</v>
      </c>
      <c r="B181" s="142"/>
      <c r="C181" s="52"/>
      <c r="D181" s="52"/>
      <c r="E181" s="53"/>
      <c r="F181" s="54"/>
    </row>
    <row r="182" spans="1:6" ht="15" customHeight="1">
      <c r="A182" s="48">
        <v>177</v>
      </c>
      <c r="B182" s="137"/>
      <c r="C182" s="138"/>
      <c r="D182" s="138"/>
      <c r="E182" s="139"/>
      <c r="F182" s="140"/>
    </row>
    <row r="183" spans="1:6" ht="15" customHeight="1">
      <c r="A183" s="48">
        <v>178</v>
      </c>
      <c r="B183" s="141"/>
      <c r="C183" s="49"/>
      <c r="D183" s="49"/>
      <c r="E183" s="50"/>
      <c r="F183" s="51"/>
    </row>
    <row r="184" spans="1:6" ht="15" customHeight="1">
      <c r="A184" s="48">
        <v>179</v>
      </c>
      <c r="B184" s="141"/>
      <c r="C184" s="49"/>
      <c r="D184" s="49"/>
      <c r="E184" s="50"/>
      <c r="F184" s="51"/>
    </row>
    <row r="185" spans="1:6" ht="15" customHeight="1" thickBot="1">
      <c r="A185" s="48">
        <v>180</v>
      </c>
      <c r="B185" s="142"/>
      <c r="C185" s="52"/>
      <c r="D185" s="52"/>
      <c r="E185" s="53"/>
      <c r="F185" s="54"/>
    </row>
    <row r="186" spans="1:6" ht="15" customHeight="1">
      <c r="A186" s="48">
        <v>181</v>
      </c>
      <c r="B186" s="137"/>
      <c r="C186" s="138"/>
      <c r="D186" s="138"/>
      <c r="E186" s="139"/>
      <c r="F186" s="140"/>
    </row>
    <row r="187" spans="1:6" ht="15" customHeight="1">
      <c r="A187" s="48">
        <v>182</v>
      </c>
      <c r="B187" s="141"/>
      <c r="C187" s="49"/>
      <c r="D187" s="49"/>
      <c r="E187" s="50"/>
      <c r="F187" s="51"/>
    </row>
    <row r="188" spans="1:6" ht="15" customHeight="1">
      <c r="A188" s="48">
        <v>183</v>
      </c>
      <c r="B188" s="141"/>
      <c r="C188" s="49"/>
      <c r="D188" s="49"/>
      <c r="E188" s="50"/>
      <c r="F188" s="51"/>
    </row>
    <row r="189" spans="1:6" ht="15" customHeight="1" thickBot="1">
      <c r="A189" s="48">
        <v>184</v>
      </c>
      <c r="B189" s="142"/>
      <c r="C189" s="52"/>
      <c r="D189" s="52"/>
      <c r="E189" s="53"/>
      <c r="F189" s="54"/>
    </row>
    <row r="190" spans="1:6" ht="15" customHeight="1">
      <c r="A190" s="48">
        <v>185</v>
      </c>
      <c r="B190" s="137"/>
      <c r="C190" s="138"/>
      <c r="D190" s="138"/>
      <c r="E190" s="139"/>
      <c r="F190" s="140"/>
    </row>
    <row r="191" spans="1:6" ht="15" customHeight="1">
      <c r="A191" s="48">
        <v>186</v>
      </c>
      <c r="B191" s="141"/>
      <c r="C191" s="49"/>
      <c r="D191" s="49"/>
      <c r="E191" s="50"/>
      <c r="F191" s="51"/>
    </row>
    <row r="192" spans="1:6" ht="15" customHeight="1">
      <c r="A192" s="48">
        <v>187</v>
      </c>
      <c r="B192" s="141"/>
      <c r="C192" s="49"/>
      <c r="D192" s="49"/>
      <c r="E192" s="50"/>
      <c r="F192" s="51"/>
    </row>
    <row r="193" spans="1:6" ht="15" customHeight="1" thickBot="1">
      <c r="A193" s="48">
        <v>188</v>
      </c>
      <c r="B193" s="142"/>
      <c r="C193" s="52"/>
      <c r="D193" s="52"/>
      <c r="E193" s="53"/>
      <c r="F193" s="54"/>
    </row>
    <row r="194" spans="1:6" ht="15" customHeight="1">
      <c r="A194" s="48">
        <v>189</v>
      </c>
      <c r="B194" s="137"/>
      <c r="C194" s="138"/>
      <c r="D194" s="138"/>
      <c r="E194" s="139"/>
      <c r="F194" s="140"/>
    </row>
    <row r="195" spans="1:6" ht="15" customHeight="1">
      <c r="A195" s="48">
        <v>190</v>
      </c>
      <c r="B195" s="141"/>
      <c r="C195" s="49"/>
      <c r="D195" s="49"/>
      <c r="E195" s="50"/>
      <c r="F195" s="51"/>
    </row>
    <row r="196" spans="1:6" ht="15" customHeight="1">
      <c r="A196" s="48">
        <v>191</v>
      </c>
      <c r="B196" s="141"/>
      <c r="C196" s="49"/>
      <c r="D196" s="49"/>
      <c r="E196" s="50"/>
      <c r="F196" s="51"/>
    </row>
    <row r="197" spans="1:6" ht="15" customHeight="1" thickBot="1">
      <c r="A197" s="48">
        <v>192</v>
      </c>
      <c r="B197" s="142"/>
      <c r="C197" s="52"/>
      <c r="D197" s="52"/>
      <c r="E197" s="53"/>
      <c r="F197" s="54"/>
    </row>
    <row r="198" spans="1:6" ht="15" customHeight="1">
      <c r="A198" s="48">
        <v>193</v>
      </c>
      <c r="B198" s="137"/>
      <c r="C198" s="138"/>
      <c r="D198" s="138"/>
      <c r="E198" s="139"/>
      <c r="F198" s="140"/>
    </row>
    <row r="199" spans="1:6" ht="15" customHeight="1">
      <c r="A199" s="48">
        <v>194</v>
      </c>
      <c r="B199" s="141"/>
      <c r="C199" s="49"/>
      <c r="D199" s="49"/>
      <c r="E199" s="50"/>
      <c r="F199" s="51"/>
    </row>
    <row r="200" spans="1:6" ht="15" customHeight="1">
      <c r="A200" s="48">
        <v>195</v>
      </c>
      <c r="B200" s="141"/>
      <c r="C200" s="49"/>
      <c r="D200" s="49"/>
      <c r="E200" s="50"/>
      <c r="F200" s="51"/>
    </row>
    <row r="201" spans="1:6" ht="15" customHeight="1" thickBot="1">
      <c r="A201" s="48">
        <v>196</v>
      </c>
      <c r="B201" s="142"/>
      <c r="C201" s="52"/>
      <c r="D201" s="52"/>
      <c r="E201" s="53"/>
      <c r="F201" s="54"/>
    </row>
    <row r="202" spans="1:6" ht="15" customHeight="1">
      <c r="A202" s="48">
        <v>197</v>
      </c>
      <c r="B202" s="137"/>
      <c r="C202" s="138"/>
      <c r="D202" s="138"/>
      <c r="E202" s="139"/>
      <c r="F202" s="140"/>
    </row>
    <row r="203" spans="1:6" ht="15" customHeight="1">
      <c r="A203" s="48">
        <v>198</v>
      </c>
      <c r="B203" s="141"/>
      <c r="C203" s="49"/>
      <c r="D203" s="49"/>
      <c r="E203" s="50"/>
      <c r="F203" s="51"/>
    </row>
    <row r="204" spans="1:6" ht="15" customHeight="1">
      <c r="A204" s="48">
        <v>199</v>
      </c>
      <c r="B204" s="141"/>
      <c r="C204" s="49"/>
      <c r="D204" s="49"/>
      <c r="E204" s="50"/>
      <c r="F204" s="51"/>
    </row>
    <row r="205" spans="1:6" ht="15" customHeight="1" thickBot="1">
      <c r="A205" s="48">
        <v>200</v>
      </c>
      <c r="B205" s="142"/>
      <c r="C205" s="52"/>
      <c r="D205" s="52"/>
      <c r="E205" s="53"/>
      <c r="F205" s="54"/>
    </row>
    <row r="206" spans="1:6" ht="15" customHeight="1">
      <c r="A206" s="48">
        <v>201</v>
      </c>
      <c r="B206" s="137"/>
      <c r="C206" s="138"/>
      <c r="D206" s="138"/>
      <c r="E206" s="139"/>
      <c r="F206" s="140"/>
    </row>
    <row r="207" spans="1:6" ht="15" customHeight="1">
      <c r="A207" s="48">
        <v>202</v>
      </c>
      <c r="B207" s="141"/>
      <c r="C207" s="49"/>
      <c r="D207" s="49"/>
      <c r="E207" s="50"/>
      <c r="F207" s="51"/>
    </row>
    <row r="208" spans="1:6" ht="15" customHeight="1">
      <c r="A208" s="48">
        <v>203</v>
      </c>
      <c r="B208" s="141"/>
      <c r="C208" s="49"/>
      <c r="D208" s="49"/>
      <c r="E208" s="50"/>
      <c r="F208" s="51"/>
    </row>
    <row r="209" spans="1:6" ht="15" customHeight="1" thickBot="1">
      <c r="A209" s="48">
        <v>204</v>
      </c>
      <c r="B209" s="142"/>
      <c r="C209" s="52"/>
      <c r="D209" s="52"/>
      <c r="E209" s="53"/>
      <c r="F209" s="54"/>
    </row>
    <row r="210" spans="1:6" ht="15" customHeight="1">
      <c r="A210" s="48">
        <v>205</v>
      </c>
      <c r="B210" s="137"/>
      <c r="C210" s="138"/>
      <c r="D210" s="138"/>
      <c r="E210" s="139"/>
      <c r="F210" s="140"/>
    </row>
    <row r="211" spans="1:6" ht="15" customHeight="1">
      <c r="A211" s="48">
        <v>206</v>
      </c>
      <c r="B211" s="141"/>
      <c r="C211" s="49"/>
      <c r="D211" s="49"/>
      <c r="E211" s="50"/>
      <c r="F211" s="51"/>
    </row>
    <row r="212" spans="1:6" ht="15" customHeight="1">
      <c r="A212" s="48">
        <v>207</v>
      </c>
      <c r="B212" s="141"/>
      <c r="C212" s="49"/>
      <c r="D212" s="49"/>
      <c r="E212" s="50"/>
      <c r="F212" s="51"/>
    </row>
    <row r="213" spans="1:6" ht="15" customHeight="1" thickBot="1">
      <c r="A213" s="48">
        <v>208</v>
      </c>
      <c r="B213" s="142"/>
      <c r="C213" s="52"/>
      <c r="D213" s="52"/>
      <c r="E213" s="53"/>
      <c r="F213" s="54"/>
    </row>
    <row r="214" spans="1:6" ht="15" customHeight="1">
      <c r="A214" s="48">
        <v>209</v>
      </c>
      <c r="B214" s="137"/>
      <c r="C214" s="138"/>
      <c r="D214" s="138"/>
      <c r="E214" s="139"/>
      <c r="F214" s="140"/>
    </row>
    <row r="215" spans="1:6" ht="15" customHeight="1">
      <c r="A215" s="48">
        <v>210</v>
      </c>
      <c r="B215" s="141"/>
      <c r="C215" s="49"/>
      <c r="D215" s="49"/>
      <c r="E215" s="50"/>
      <c r="F215" s="51"/>
    </row>
    <row r="216" spans="1:6" ht="15" customHeight="1">
      <c r="A216" s="48">
        <v>211</v>
      </c>
      <c r="B216" s="141"/>
      <c r="C216" s="49"/>
      <c r="D216" s="49"/>
      <c r="E216" s="50"/>
      <c r="F216" s="51"/>
    </row>
    <row r="217" spans="1:6" ht="15" customHeight="1" thickBot="1">
      <c r="A217" s="48">
        <v>212</v>
      </c>
      <c r="B217" s="142"/>
      <c r="C217" s="52"/>
      <c r="D217" s="52"/>
      <c r="E217" s="53"/>
      <c r="F217" s="54"/>
    </row>
    <row r="218" spans="1:6" ht="15" customHeight="1">
      <c r="A218" s="48">
        <v>213</v>
      </c>
      <c r="B218" s="137"/>
      <c r="C218" s="138"/>
      <c r="D218" s="138"/>
      <c r="E218" s="139"/>
      <c r="F218" s="140"/>
    </row>
    <row r="219" spans="1:6" ht="15" customHeight="1">
      <c r="A219" s="48">
        <v>214</v>
      </c>
      <c r="B219" s="141"/>
      <c r="C219" s="49"/>
      <c r="D219" s="49"/>
      <c r="E219" s="50"/>
      <c r="F219" s="51"/>
    </row>
    <row r="220" spans="1:6" ht="15" customHeight="1">
      <c r="A220" s="48">
        <v>215</v>
      </c>
      <c r="B220" s="141"/>
      <c r="C220" s="49"/>
      <c r="D220" s="49"/>
      <c r="E220" s="50"/>
      <c r="F220" s="51"/>
    </row>
    <row r="221" spans="1:6" ht="15" customHeight="1" thickBot="1">
      <c r="A221" s="48">
        <v>216</v>
      </c>
      <c r="B221" s="142"/>
      <c r="C221" s="52"/>
      <c r="D221" s="52"/>
      <c r="E221" s="53"/>
      <c r="F221" s="54"/>
    </row>
    <row r="222" spans="1:6" ht="15" customHeight="1">
      <c r="A222" s="48">
        <v>217</v>
      </c>
      <c r="B222" s="137"/>
      <c r="C222" s="138"/>
      <c r="D222" s="138"/>
      <c r="E222" s="139"/>
      <c r="F222" s="140"/>
    </row>
    <row r="223" spans="1:6" ht="15" customHeight="1">
      <c r="A223" s="48">
        <v>218</v>
      </c>
      <c r="B223" s="141"/>
      <c r="C223" s="49"/>
      <c r="D223" s="49"/>
      <c r="E223" s="50"/>
      <c r="F223" s="51"/>
    </row>
    <row r="224" spans="1:6" ht="15" customHeight="1">
      <c r="A224" s="48">
        <v>219</v>
      </c>
      <c r="B224" s="141"/>
      <c r="C224" s="49"/>
      <c r="D224" s="49"/>
      <c r="E224" s="50"/>
      <c r="F224" s="51"/>
    </row>
    <row r="225" spans="1:6" ht="15" customHeight="1" thickBot="1">
      <c r="A225" s="48">
        <v>220</v>
      </c>
      <c r="B225" s="142"/>
      <c r="C225" s="52"/>
      <c r="D225" s="52"/>
      <c r="E225" s="53"/>
      <c r="F225" s="54"/>
    </row>
    <row r="226" spans="1:6" ht="15" customHeight="1">
      <c r="A226" s="48">
        <v>221</v>
      </c>
      <c r="B226" s="137"/>
      <c r="C226" s="138"/>
      <c r="D226" s="138"/>
      <c r="E226" s="139"/>
      <c r="F226" s="140"/>
    </row>
    <row r="227" spans="1:6" ht="15" customHeight="1">
      <c r="A227" s="48">
        <v>222</v>
      </c>
      <c r="B227" s="141"/>
      <c r="C227" s="49"/>
      <c r="D227" s="49"/>
      <c r="E227" s="50"/>
      <c r="F227" s="51"/>
    </row>
    <row r="228" spans="1:6" ht="15" customHeight="1">
      <c r="A228" s="48">
        <v>223</v>
      </c>
      <c r="B228" s="141"/>
      <c r="C228" s="49"/>
      <c r="D228" s="49"/>
      <c r="E228" s="50"/>
      <c r="F228" s="51"/>
    </row>
    <row r="229" spans="1:6" ht="15" customHeight="1" thickBot="1">
      <c r="A229" s="48">
        <v>224</v>
      </c>
      <c r="B229" s="142"/>
      <c r="C229" s="52"/>
      <c r="D229" s="52"/>
      <c r="E229" s="53"/>
      <c r="F229" s="54"/>
    </row>
    <row r="230" spans="1:6" ht="15" customHeight="1">
      <c r="A230" s="48">
        <v>225</v>
      </c>
      <c r="B230" s="137"/>
      <c r="C230" s="138"/>
      <c r="D230" s="138"/>
      <c r="E230" s="139"/>
      <c r="F230" s="140"/>
    </row>
    <row r="231" spans="1:6" ht="15" customHeight="1">
      <c r="A231" s="48">
        <v>226</v>
      </c>
      <c r="B231" s="141"/>
      <c r="C231" s="49"/>
      <c r="D231" s="49"/>
      <c r="E231" s="50"/>
      <c r="F231" s="51"/>
    </row>
    <row r="232" spans="1:6" ht="15" customHeight="1">
      <c r="A232" s="48">
        <v>227</v>
      </c>
      <c r="B232" s="141"/>
      <c r="C232" s="49"/>
      <c r="D232" s="49"/>
      <c r="E232" s="50"/>
      <c r="F232" s="51"/>
    </row>
    <row r="233" spans="1:6" ht="15" customHeight="1" thickBot="1">
      <c r="A233" s="48">
        <v>228</v>
      </c>
      <c r="B233" s="142"/>
      <c r="C233" s="52"/>
      <c r="D233" s="52"/>
      <c r="E233" s="53"/>
      <c r="F233" s="54"/>
    </row>
    <row r="234" spans="1:6" ht="15" customHeight="1">
      <c r="A234" s="48">
        <v>229</v>
      </c>
      <c r="B234" s="137"/>
      <c r="C234" s="138"/>
      <c r="D234" s="138"/>
      <c r="E234" s="139"/>
      <c r="F234" s="140"/>
    </row>
    <row r="235" spans="1:6" ht="15" customHeight="1">
      <c r="A235" s="48">
        <v>230</v>
      </c>
      <c r="B235" s="141"/>
      <c r="C235" s="49"/>
      <c r="D235" s="49"/>
      <c r="E235" s="50"/>
      <c r="F235" s="51"/>
    </row>
    <row r="236" spans="1:6" ht="15" customHeight="1">
      <c r="A236" s="48">
        <v>231</v>
      </c>
      <c r="B236" s="141"/>
      <c r="C236" s="49"/>
      <c r="D236" s="49"/>
      <c r="E236" s="50"/>
      <c r="F236" s="51"/>
    </row>
    <row r="237" spans="1:6" ht="15" customHeight="1" thickBot="1">
      <c r="A237" s="48">
        <v>232</v>
      </c>
      <c r="B237" s="142"/>
      <c r="C237" s="52"/>
      <c r="D237" s="52"/>
      <c r="E237" s="53"/>
      <c r="F237" s="54"/>
    </row>
    <row r="238" spans="1:6" ht="15" customHeight="1">
      <c r="A238" s="48">
        <v>233</v>
      </c>
      <c r="B238" s="137"/>
      <c r="C238" s="138"/>
      <c r="D238" s="138"/>
      <c r="E238" s="139"/>
      <c r="F238" s="140"/>
    </row>
    <row r="239" spans="1:6" ht="15" customHeight="1">
      <c r="A239" s="48">
        <v>234</v>
      </c>
      <c r="B239" s="141"/>
      <c r="C239" s="49"/>
      <c r="D239" s="49"/>
      <c r="E239" s="50"/>
      <c r="F239" s="51"/>
    </row>
    <row r="240" spans="1:6" ht="15" customHeight="1">
      <c r="A240" s="48">
        <v>235</v>
      </c>
      <c r="B240" s="141"/>
      <c r="C240" s="49"/>
      <c r="D240" s="49"/>
      <c r="E240" s="50"/>
      <c r="F240" s="51"/>
    </row>
    <row r="241" spans="1:6" ht="15" customHeight="1" thickBot="1">
      <c r="A241" s="48">
        <v>236</v>
      </c>
      <c r="B241" s="142"/>
      <c r="C241" s="52"/>
      <c r="D241" s="52"/>
      <c r="E241" s="53"/>
      <c r="F241" s="54"/>
    </row>
    <row r="242" spans="1:6" ht="15" customHeight="1">
      <c r="A242" s="48">
        <v>237</v>
      </c>
      <c r="B242" s="137"/>
      <c r="C242" s="138"/>
      <c r="D242" s="138"/>
      <c r="E242" s="139"/>
      <c r="F242" s="140"/>
    </row>
    <row r="243" spans="1:6" ht="15" customHeight="1">
      <c r="A243" s="48">
        <v>238</v>
      </c>
      <c r="B243" s="141"/>
      <c r="C243" s="49"/>
      <c r="D243" s="49"/>
      <c r="E243" s="50"/>
      <c r="F243" s="51"/>
    </row>
    <row r="244" spans="1:6" ht="15" customHeight="1">
      <c r="A244" s="48">
        <v>239</v>
      </c>
      <c r="B244" s="141"/>
      <c r="C244" s="49"/>
      <c r="D244" s="49"/>
      <c r="E244" s="50"/>
      <c r="F244" s="51"/>
    </row>
    <row r="245" spans="1:6" ht="15" customHeight="1" thickBot="1">
      <c r="A245" s="48">
        <v>240</v>
      </c>
      <c r="B245" s="142"/>
      <c r="C245" s="52"/>
      <c r="D245" s="52"/>
      <c r="E245" s="53"/>
      <c r="F245" s="54"/>
    </row>
    <row r="246" spans="1:6" ht="15" customHeight="1">
      <c r="A246" s="48">
        <v>241</v>
      </c>
      <c r="B246" s="137"/>
      <c r="C246" s="138"/>
      <c r="D246" s="138"/>
      <c r="E246" s="139"/>
      <c r="F246" s="140"/>
    </row>
    <row r="247" spans="1:6" ht="15" customHeight="1">
      <c r="A247" s="48">
        <v>242</v>
      </c>
      <c r="B247" s="141"/>
      <c r="C247" s="49"/>
      <c r="D247" s="49"/>
      <c r="E247" s="50"/>
      <c r="F247" s="51"/>
    </row>
    <row r="248" spans="1:6" ht="15" customHeight="1">
      <c r="A248" s="48">
        <v>243</v>
      </c>
      <c r="B248" s="141"/>
      <c r="C248" s="49"/>
      <c r="D248" s="49"/>
      <c r="E248" s="50"/>
      <c r="F248" s="51"/>
    </row>
    <row r="249" spans="1:6" ht="15" customHeight="1" thickBot="1">
      <c r="A249" s="48">
        <v>244</v>
      </c>
      <c r="B249" s="142"/>
      <c r="C249" s="52"/>
      <c r="D249" s="52"/>
      <c r="E249" s="53"/>
      <c r="F249" s="54"/>
    </row>
    <row r="250" spans="1:6" ht="15" customHeight="1">
      <c r="A250" s="48">
        <v>245</v>
      </c>
      <c r="B250" s="137"/>
      <c r="C250" s="138"/>
      <c r="D250" s="138"/>
      <c r="E250" s="139"/>
      <c r="F250" s="140"/>
    </row>
    <row r="251" spans="1:6" ht="15" customHeight="1">
      <c r="A251" s="48">
        <v>246</v>
      </c>
      <c r="B251" s="141"/>
      <c r="C251" s="49"/>
      <c r="D251" s="49"/>
      <c r="E251" s="50"/>
      <c r="F251" s="51"/>
    </row>
    <row r="252" spans="1:6" ht="15" customHeight="1">
      <c r="A252" s="48">
        <v>247</v>
      </c>
      <c r="B252" s="141"/>
      <c r="C252" s="49"/>
      <c r="D252" s="49"/>
      <c r="E252" s="50"/>
      <c r="F252" s="51"/>
    </row>
    <row r="253" spans="1:6" ht="15" customHeight="1" thickBot="1">
      <c r="A253" s="48">
        <v>248</v>
      </c>
      <c r="B253" s="142"/>
      <c r="C253" s="52"/>
      <c r="D253" s="52"/>
      <c r="E253" s="53"/>
      <c r="F253" s="54"/>
    </row>
  </sheetData>
  <sheetProtection/>
  <mergeCells count="5">
    <mergeCell ref="A4:C4"/>
    <mergeCell ref="A1:F1"/>
    <mergeCell ref="A2:F2"/>
    <mergeCell ref="A3:F3"/>
    <mergeCell ref="E4:F4"/>
  </mergeCells>
  <conditionalFormatting sqref="C6:C9">
    <cfRule type="duplicateValues" priority="130" dxfId="662">
      <formula>AND(COUNTIF($C$6:$C$9,C6)&gt;1,NOT(ISBLANK(C6)))</formula>
    </cfRule>
  </conditionalFormatting>
  <conditionalFormatting sqref="B10:B13">
    <cfRule type="duplicateValues" priority="129" dxfId="662" stopIfTrue="1">
      <formula>AND(COUNTIF($B$10:$B$13,B10)&gt;1,NOT(ISBLANK(B10)))</formula>
    </cfRule>
  </conditionalFormatting>
  <conditionalFormatting sqref="C10:C13">
    <cfRule type="duplicateValues" priority="128" dxfId="662">
      <formula>AND(COUNTIF($C$10:$C$13,C10)&gt;1,NOT(ISBLANK(C10)))</formula>
    </cfRule>
  </conditionalFormatting>
  <conditionalFormatting sqref="B14:B17">
    <cfRule type="duplicateValues" priority="127" dxfId="662" stopIfTrue="1">
      <formula>AND(COUNTIF($B$14:$B$17,B14)&gt;1,NOT(ISBLANK(B14)))</formula>
    </cfRule>
  </conditionalFormatting>
  <conditionalFormatting sqref="C14:C17">
    <cfRule type="duplicateValues" priority="126" dxfId="662">
      <formula>AND(COUNTIF($C$14:$C$17,C14)&gt;1,NOT(ISBLANK(C14)))</formula>
    </cfRule>
  </conditionalFormatting>
  <conditionalFormatting sqref="B18:B21">
    <cfRule type="duplicateValues" priority="125" dxfId="662" stopIfTrue="1">
      <formula>AND(COUNTIF($B$18:$B$21,B18)&gt;1,NOT(ISBLANK(B18)))</formula>
    </cfRule>
  </conditionalFormatting>
  <conditionalFormatting sqref="C18:C21">
    <cfRule type="duplicateValues" priority="124" dxfId="662">
      <formula>AND(COUNTIF($C$18:$C$21,C18)&gt;1,NOT(ISBLANK(C18)))</formula>
    </cfRule>
  </conditionalFormatting>
  <conditionalFormatting sqref="B22:B25">
    <cfRule type="duplicateValues" priority="123" dxfId="662" stopIfTrue="1">
      <formula>AND(COUNTIF($B$22:$B$25,B22)&gt;1,NOT(ISBLANK(B22)))</formula>
    </cfRule>
  </conditionalFormatting>
  <conditionalFormatting sqref="C22:C25">
    <cfRule type="duplicateValues" priority="122" dxfId="662">
      <formula>AND(COUNTIF($C$22:$C$25,C22)&gt;1,NOT(ISBLANK(C22)))</formula>
    </cfRule>
  </conditionalFormatting>
  <conditionalFormatting sqref="B26:B29">
    <cfRule type="duplicateValues" priority="121" dxfId="662" stopIfTrue="1">
      <formula>AND(COUNTIF($B$26:$B$29,B26)&gt;1,NOT(ISBLANK(B26)))</formula>
    </cfRule>
  </conditionalFormatting>
  <conditionalFormatting sqref="C26:C28">
    <cfRule type="duplicateValues" priority="120" dxfId="662">
      <formula>AND(COUNTIF($C$26:$C$28,C26)&gt;1,NOT(ISBLANK(C26)))</formula>
    </cfRule>
  </conditionalFormatting>
  <conditionalFormatting sqref="B30:B33">
    <cfRule type="duplicateValues" priority="119" dxfId="662" stopIfTrue="1">
      <formula>AND(COUNTIF($B$30:$B$33,B30)&gt;1,NOT(ISBLANK(B30)))</formula>
    </cfRule>
  </conditionalFormatting>
  <conditionalFormatting sqref="C30:C33">
    <cfRule type="duplicateValues" priority="118" dxfId="662">
      <formula>AND(COUNTIF($C$30:$C$33,C30)&gt;1,NOT(ISBLANK(C30)))</formula>
    </cfRule>
  </conditionalFormatting>
  <conditionalFormatting sqref="B34:B37">
    <cfRule type="duplicateValues" priority="117" dxfId="662" stopIfTrue="1">
      <formula>AND(COUNTIF($B$34:$B$37,B34)&gt;1,NOT(ISBLANK(B34)))</formula>
    </cfRule>
  </conditionalFormatting>
  <conditionalFormatting sqref="C34:C37">
    <cfRule type="duplicateValues" priority="116" dxfId="662">
      <formula>AND(COUNTIF($C$34:$C$37,C34)&gt;1,NOT(ISBLANK(C34)))</formula>
    </cfRule>
  </conditionalFormatting>
  <conditionalFormatting sqref="B38:B41">
    <cfRule type="duplicateValues" priority="115" dxfId="662" stopIfTrue="1">
      <formula>AND(COUNTIF($B$38:$B$41,B38)&gt;1,NOT(ISBLANK(B38)))</formula>
    </cfRule>
  </conditionalFormatting>
  <conditionalFormatting sqref="C38:C41">
    <cfRule type="duplicateValues" priority="114" dxfId="662">
      <formula>AND(COUNTIF($C$38:$C$41,C38)&gt;1,NOT(ISBLANK(C38)))</formula>
    </cfRule>
  </conditionalFormatting>
  <conditionalFormatting sqref="B42:B45">
    <cfRule type="duplicateValues" priority="113" dxfId="662" stopIfTrue="1">
      <formula>AND(COUNTIF($B$42:$B$45,B42)&gt;1,NOT(ISBLANK(B42)))</formula>
    </cfRule>
  </conditionalFormatting>
  <conditionalFormatting sqref="C42:C45">
    <cfRule type="duplicateValues" priority="112" dxfId="662">
      <formula>AND(COUNTIF($C$42:$C$45,C42)&gt;1,NOT(ISBLANK(C42)))</formula>
    </cfRule>
  </conditionalFormatting>
  <conditionalFormatting sqref="B46:B49">
    <cfRule type="duplicateValues" priority="111" dxfId="662" stopIfTrue="1">
      <formula>AND(COUNTIF($B$46:$B$49,B46)&gt;1,NOT(ISBLANK(B46)))</formula>
    </cfRule>
  </conditionalFormatting>
  <conditionalFormatting sqref="C46:C49">
    <cfRule type="duplicateValues" priority="110" dxfId="662">
      <formula>AND(COUNTIF($C$46:$C$49,C46)&gt;1,NOT(ISBLANK(C46)))</formula>
    </cfRule>
  </conditionalFormatting>
  <conditionalFormatting sqref="B50:B53">
    <cfRule type="duplicateValues" priority="109" dxfId="662" stopIfTrue="1">
      <formula>AND(COUNTIF($B$50:$B$53,B50)&gt;1,NOT(ISBLANK(B50)))</formula>
    </cfRule>
  </conditionalFormatting>
  <conditionalFormatting sqref="C50:C53">
    <cfRule type="duplicateValues" priority="108" dxfId="662">
      <formula>AND(COUNTIF($C$50:$C$53,C50)&gt;1,NOT(ISBLANK(C50)))</formula>
    </cfRule>
  </conditionalFormatting>
  <conditionalFormatting sqref="B54:B57">
    <cfRule type="duplicateValues" priority="107" dxfId="662" stopIfTrue="1">
      <formula>AND(COUNTIF($B$54:$B$57,B54)&gt;1,NOT(ISBLANK(B54)))</formula>
    </cfRule>
  </conditionalFormatting>
  <conditionalFormatting sqref="C54:C57">
    <cfRule type="duplicateValues" priority="106" dxfId="662">
      <formula>AND(COUNTIF($C$54:$C$57,C54)&gt;1,NOT(ISBLANK(C54)))</formula>
    </cfRule>
  </conditionalFormatting>
  <conditionalFormatting sqref="B58:B61">
    <cfRule type="duplicateValues" priority="105" dxfId="662" stopIfTrue="1">
      <formula>AND(COUNTIF($B$58:$B$61,B58)&gt;1,NOT(ISBLANK(B58)))</formula>
    </cfRule>
  </conditionalFormatting>
  <conditionalFormatting sqref="C58:C61">
    <cfRule type="duplicateValues" priority="104" dxfId="662">
      <formula>AND(COUNTIF($C$58:$C$61,C58)&gt;1,NOT(ISBLANK(C58)))</formula>
    </cfRule>
  </conditionalFormatting>
  <conditionalFormatting sqref="B62:B65">
    <cfRule type="duplicateValues" priority="103" dxfId="662" stopIfTrue="1">
      <formula>AND(COUNTIF($B$62:$B$65,B62)&gt;1,NOT(ISBLANK(B62)))</formula>
    </cfRule>
  </conditionalFormatting>
  <conditionalFormatting sqref="C62:C65">
    <cfRule type="duplicateValues" priority="102" dxfId="662">
      <formula>AND(COUNTIF($C$62:$C$65,C62)&gt;1,NOT(ISBLANK(C62)))</formula>
    </cfRule>
  </conditionalFormatting>
  <conditionalFormatting sqref="B66:B69">
    <cfRule type="duplicateValues" priority="101" dxfId="662" stopIfTrue="1">
      <formula>AND(COUNTIF($B$66:$B$69,B66)&gt;1,NOT(ISBLANK(B66)))</formula>
    </cfRule>
  </conditionalFormatting>
  <conditionalFormatting sqref="C66:C69">
    <cfRule type="duplicateValues" priority="100" dxfId="662">
      <formula>AND(COUNTIF($C$66:$C$69,C66)&gt;1,NOT(ISBLANK(C66)))</formula>
    </cfRule>
  </conditionalFormatting>
  <conditionalFormatting sqref="B70:B73">
    <cfRule type="duplicateValues" priority="99" dxfId="662" stopIfTrue="1">
      <formula>AND(COUNTIF($B$70:$B$73,B70)&gt;1,NOT(ISBLANK(B70)))</formula>
    </cfRule>
  </conditionalFormatting>
  <conditionalFormatting sqref="C70:C73">
    <cfRule type="duplicateValues" priority="98" dxfId="662">
      <formula>AND(COUNTIF($C$70:$C$73,C70)&gt;1,NOT(ISBLANK(C70)))</formula>
    </cfRule>
  </conditionalFormatting>
  <conditionalFormatting sqref="B74:B77">
    <cfRule type="duplicateValues" priority="97" dxfId="662" stopIfTrue="1">
      <formula>AND(COUNTIF($B$74:$B$77,B74)&gt;1,NOT(ISBLANK(B74)))</formula>
    </cfRule>
  </conditionalFormatting>
  <conditionalFormatting sqref="C74:C77">
    <cfRule type="duplicateValues" priority="96" dxfId="662">
      <formula>AND(COUNTIF($C$74:$C$77,C74)&gt;1,NOT(ISBLANK(C74)))</formula>
    </cfRule>
  </conditionalFormatting>
  <conditionalFormatting sqref="B78:B81">
    <cfRule type="duplicateValues" priority="95" dxfId="662" stopIfTrue="1">
      <formula>AND(COUNTIF($B$78:$B$81,B78)&gt;1,NOT(ISBLANK(B78)))</formula>
    </cfRule>
  </conditionalFormatting>
  <conditionalFormatting sqref="C78:C81">
    <cfRule type="duplicateValues" priority="94" dxfId="662">
      <formula>AND(COUNTIF($C$78:$C$81,C78)&gt;1,NOT(ISBLANK(C78)))</formula>
    </cfRule>
  </conditionalFormatting>
  <conditionalFormatting sqref="B82:B85">
    <cfRule type="duplicateValues" priority="93" dxfId="662" stopIfTrue="1">
      <formula>AND(COUNTIF($B$82:$B$85,B82)&gt;1,NOT(ISBLANK(B82)))</formula>
    </cfRule>
  </conditionalFormatting>
  <conditionalFormatting sqref="C82:C85">
    <cfRule type="duplicateValues" priority="92" dxfId="662">
      <formula>AND(COUNTIF($C$82:$C$85,C82)&gt;1,NOT(ISBLANK(C82)))</formula>
    </cfRule>
  </conditionalFormatting>
  <conditionalFormatting sqref="B86:B89">
    <cfRule type="duplicateValues" priority="91" dxfId="662" stopIfTrue="1">
      <formula>AND(COUNTIF($B$86:$B$89,B86)&gt;1,NOT(ISBLANK(B86)))</formula>
    </cfRule>
  </conditionalFormatting>
  <conditionalFormatting sqref="C86:C89">
    <cfRule type="duplicateValues" priority="90" dxfId="662">
      <formula>AND(COUNTIF($C$86:$C$89,C86)&gt;1,NOT(ISBLANK(C86)))</formula>
    </cfRule>
  </conditionalFormatting>
  <conditionalFormatting sqref="B90:B93">
    <cfRule type="duplicateValues" priority="89" dxfId="662" stopIfTrue="1">
      <formula>AND(COUNTIF($B$90:$B$93,B90)&gt;1,NOT(ISBLANK(B90)))</formula>
    </cfRule>
  </conditionalFormatting>
  <conditionalFormatting sqref="C90:C93">
    <cfRule type="duplicateValues" priority="88" dxfId="662">
      <formula>AND(COUNTIF($C$90:$C$93,C90)&gt;1,NOT(ISBLANK(C90)))</formula>
    </cfRule>
  </conditionalFormatting>
  <conditionalFormatting sqref="B94:B97">
    <cfRule type="duplicateValues" priority="87" dxfId="662" stopIfTrue="1">
      <formula>AND(COUNTIF($B$94:$B$97,B94)&gt;1,NOT(ISBLANK(B94)))</formula>
    </cfRule>
  </conditionalFormatting>
  <conditionalFormatting sqref="C94:C97">
    <cfRule type="duplicateValues" priority="86" dxfId="662">
      <formula>AND(COUNTIF($C$94:$C$97,C94)&gt;1,NOT(ISBLANK(C94)))</formula>
    </cfRule>
  </conditionalFormatting>
  <conditionalFormatting sqref="B98:B101">
    <cfRule type="duplicateValues" priority="85" dxfId="662" stopIfTrue="1">
      <formula>AND(COUNTIF($B$98:$B$101,B98)&gt;1,NOT(ISBLANK(B98)))</formula>
    </cfRule>
  </conditionalFormatting>
  <conditionalFormatting sqref="C98:C101">
    <cfRule type="duplicateValues" priority="84" dxfId="662">
      <formula>AND(COUNTIF($C$98:$C$101,C98)&gt;1,NOT(ISBLANK(C98)))</formula>
    </cfRule>
  </conditionalFormatting>
  <conditionalFormatting sqref="B102:B105">
    <cfRule type="duplicateValues" priority="83" dxfId="662" stopIfTrue="1">
      <formula>AND(COUNTIF($B$102:$B$105,B102)&gt;1,NOT(ISBLANK(B102)))</formula>
    </cfRule>
  </conditionalFormatting>
  <conditionalFormatting sqref="C102:C105">
    <cfRule type="duplicateValues" priority="82" dxfId="662">
      <formula>AND(COUNTIF($C$102:$C$105,C102)&gt;1,NOT(ISBLANK(C102)))</formula>
    </cfRule>
  </conditionalFormatting>
  <conditionalFormatting sqref="B106:B109">
    <cfRule type="duplicateValues" priority="81" dxfId="662" stopIfTrue="1">
      <formula>AND(COUNTIF($B$106:$B$109,B106)&gt;1,NOT(ISBLANK(B106)))</formula>
    </cfRule>
  </conditionalFormatting>
  <conditionalFormatting sqref="C106:C109">
    <cfRule type="duplicateValues" priority="80" dxfId="662">
      <formula>AND(COUNTIF($C$106:$C$109,C106)&gt;1,NOT(ISBLANK(C106)))</formula>
    </cfRule>
  </conditionalFormatting>
  <conditionalFormatting sqref="B110:B113">
    <cfRule type="duplicateValues" priority="79" dxfId="662" stopIfTrue="1">
      <formula>AND(COUNTIF($B$110:$B$113,B110)&gt;1,NOT(ISBLANK(B110)))</formula>
    </cfRule>
  </conditionalFormatting>
  <conditionalFormatting sqref="C110:C113">
    <cfRule type="duplicateValues" priority="78" dxfId="662">
      <formula>AND(COUNTIF($C$110:$C$113,C110)&gt;1,NOT(ISBLANK(C110)))</formula>
    </cfRule>
  </conditionalFormatting>
  <conditionalFormatting sqref="B114:B117">
    <cfRule type="duplicateValues" priority="77" dxfId="662" stopIfTrue="1">
      <formula>AND(COUNTIF($B$114:$B$117,B114)&gt;1,NOT(ISBLANK(B114)))</formula>
    </cfRule>
  </conditionalFormatting>
  <conditionalFormatting sqref="C114:C117">
    <cfRule type="duplicateValues" priority="76" dxfId="662">
      <formula>AND(COUNTIF($C$114:$C$117,C114)&gt;1,NOT(ISBLANK(C114)))</formula>
    </cfRule>
  </conditionalFormatting>
  <conditionalFormatting sqref="B118:B121">
    <cfRule type="duplicateValues" priority="75" dxfId="662" stopIfTrue="1">
      <formula>AND(COUNTIF($B$118:$B$121,B118)&gt;1,NOT(ISBLANK(B118)))</formula>
    </cfRule>
  </conditionalFormatting>
  <conditionalFormatting sqref="C118:C121">
    <cfRule type="duplicateValues" priority="74" dxfId="662">
      <formula>AND(COUNTIF($C$118:$C$121,C118)&gt;1,NOT(ISBLANK(C118)))</formula>
    </cfRule>
  </conditionalFormatting>
  <conditionalFormatting sqref="B122:B125">
    <cfRule type="duplicateValues" priority="73" dxfId="662" stopIfTrue="1">
      <formula>AND(COUNTIF($B$122:$B$125,B122)&gt;1,NOT(ISBLANK(B122)))</formula>
    </cfRule>
  </conditionalFormatting>
  <conditionalFormatting sqref="C122:C125">
    <cfRule type="duplicateValues" priority="72" dxfId="662">
      <formula>AND(COUNTIF($C$122:$C$125,C122)&gt;1,NOT(ISBLANK(C122)))</formula>
    </cfRule>
  </conditionalFormatting>
  <conditionalFormatting sqref="B126:B129">
    <cfRule type="duplicateValues" priority="71" dxfId="662" stopIfTrue="1">
      <formula>AND(COUNTIF($B$126:$B$129,B126)&gt;1,NOT(ISBLANK(B126)))</formula>
    </cfRule>
  </conditionalFormatting>
  <conditionalFormatting sqref="C126:C129">
    <cfRule type="duplicateValues" priority="70" dxfId="662">
      <formula>AND(COUNTIF($C$126:$C$129,C126)&gt;1,NOT(ISBLANK(C126)))</formula>
    </cfRule>
  </conditionalFormatting>
  <conditionalFormatting sqref="B130:B133">
    <cfRule type="duplicateValues" priority="69" dxfId="662" stopIfTrue="1">
      <formula>AND(COUNTIF($B$130:$B$133,B130)&gt;1,NOT(ISBLANK(B130)))</formula>
    </cfRule>
  </conditionalFormatting>
  <conditionalFormatting sqref="C130:C133">
    <cfRule type="duplicateValues" priority="68" dxfId="662">
      <formula>AND(COUNTIF($C$130:$C$133,C130)&gt;1,NOT(ISBLANK(C130)))</formula>
    </cfRule>
  </conditionalFormatting>
  <conditionalFormatting sqref="B134:B137">
    <cfRule type="duplicateValues" priority="67" dxfId="662" stopIfTrue="1">
      <formula>AND(COUNTIF($B$134:$B$137,B134)&gt;1,NOT(ISBLANK(B134)))</formula>
    </cfRule>
  </conditionalFormatting>
  <conditionalFormatting sqref="C134:C137">
    <cfRule type="duplicateValues" priority="66" dxfId="662">
      <formula>AND(COUNTIF($C$134:$C$137,C134)&gt;1,NOT(ISBLANK(C134)))</formula>
    </cfRule>
  </conditionalFormatting>
  <conditionalFormatting sqref="B138:B141">
    <cfRule type="duplicateValues" priority="65" dxfId="662" stopIfTrue="1">
      <formula>AND(COUNTIF($B$138:$B$141,B138)&gt;1,NOT(ISBLANK(B138)))</formula>
    </cfRule>
  </conditionalFormatting>
  <conditionalFormatting sqref="C138:C141">
    <cfRule type="duplicateValues" priority="64" dxfId="662">
      <formula>AND(COUNTIF($C$138:$C$141,C138)&gt;1,NOT(ISBLANK(C138)))</formula>
    </cfRule>
  </conditionalFormatting>
  <conditionalFormatting sqref="B142:B145">
    <cfRule type="duplicateValues" priority="63" dxfId="662" stopIfTrue="1">
      <formula>AND(COUNTIF($B$142:$B$145,B142)&gt;1,NOT(ISBLANK(B142)))</formula>
    </cfRule>
  </conditionalFormatting>
  <conditionalFormatting sqref="C142:C145">
    <cfRule type="duplicateValues" priority="62" dxfId="662">
      <formula>AND(COUNTIF($C$142:$C$145,C142)&gt;1,NOT(ISBLANK(C142)))</formula>
    </cfRule>
  </conditionalFormatting>
  <conditionalFormatting sqref="B146:B149">
    <cfRule type="duplicateValues" priority="61" dxfId="662" stopIfTrue="1">
      <formula>AND(COUNTIF($B$146:$B$149,B146)&gt;1,NOT(ISBLANK(B146)))</formula>
    </cfRule>
  </conditionalFormatting>
  <conditionalFormatting sqref="C146:C149">
    <cfRule type="duplicateValues" priority="60" dxfId="662">
      <formula>AND(COUNTIF($C$146:$C$149,C146)&gt;1,NOT(ISBLANK(C146)))</formula>
    </cfRule>
  </conditionalFormatting>
  <conditionalFormatting sqref="B150:B153">
    <cfRule type="duplicateValues" priority="59" dxfId="662" stopIfTrue="1">
      <formula>AND(COUNTIF($B$150:$B$153,B150)&gt;1,NOT(ISBLANK(B150)))</formula>
    </cfRule>
  </conditionalFormatting>
  <conditionalFormatting sqref="C150:C153">
    <cfRule type="duplicateValues" priority="58" dxfId="662">
      <formula>AND(COUNTIF($C$150:$C$153,C150)&gt;1,NOT(ISBLANK(C150)))</formula>
    </cfRule>
  </conditionalFormatting>
  <conditionalFormatting sqref="B154:B157">
    <cfRule type="duplicateValues" priority="57" dxfId="662" stopIfTrue="1">
      <formula>AND(COUNTIF($B$154:$B$157,B154)&gt;1,NOT(ISBLANK(B154)))</formula>
    </cfRule>
  </conditionalFormatting>
  <conditionalFormatting sqref="C154:C157">
    <cfRule type="duplicateValues" priority="56" dxfId="662">
      <formula>AND(COUNTIF($C$154:$C$157,C154)&gt;1,NOT(ISBLANK(C154)))</formula>
    </cfRule>
  </conditionalFormatting>
  <conditionalFormatting sqref="B158:B161">
    <cfRule type="duplicateValues" priority="55" dxfId="662" stopIfTrue="1">
      <formula>AND(COUNTIF($B$158:$B$161,B158)&gt;1,NOT(ISBLANK(B158)))</formula>
    </cfRule>
  </conditionalFormatting>
  <conditionalFormatting sqref="C158:C161">
    <cfRule type="duplicateValues" priority="54" dxfId="662">
      <formula>AND(COUNTIF($C$158:$C$161,C158)&gt;1,NOT(ISBLANK(C158)))</formula>
    </cfRule>
  </conditionalFormatting>
  <conditionalFormatting sqref="B162:B165">
    <cfRule type="duplicateValues" priority="53" dxfId="662" stopIfTrue="1">
      <formula>AND(COUNTIF($B$162:$B$165,B162)&gt;1,NOT(ISBLANK(B162)))</formula>
    </cfRule>
  </conditionalFormatting>
  <conditionalFormatting sqref="C162:C165">
    <cfRule type="duplicateValues" priority="52" dxfId="662">
      <formula>AND(COUNTIF($C$162:$C$165,C162)&gt;1,NOT(ISBLANK(C162)))</formula>
    </cfRule>
  </conditionalFormatting>
  <conditionalFormatting sqref="B166:B169">
    <cfRule type="duplicateValues" priority="51" dxfId="662" stopIfTrue="1">
      <formula>AND(COUNTIF($B$166:$B$169,B166)&gt;1,NOT(ISBLANK(B166)))</formula>
    </cfRule>
  </conditionalFormatting>
  <conditionalFormatting sqref="C166:C169">
    <cfRule type="duplicateValues" priority="50" dxfId="662">
      <formula>AND(COUNTIF($C$166:$C$169,C166)&gt;1,NOT(ISBLANK(C166)))</formula>
    </cfRule>
  </conditionalFormatting>
  <conditionalFormatting sqref="B170:B173">
    <cfRule type="duplicateValues" priority="49" dxfId="662" stopIfTrue="1">
      <formula>AND(COUNTIF($B$170:$B$173,B170)&gt;1,NOT(ISBLANK(B170)))</formula>
    </cfRule>
  </conditionalFormatting>
  <conditionalFormatting sqref="C170:C173">
    <cfRule type="duplicateValues" priority="48" dxfId="662">
      <formula>AND(COUNTIF($C$170:$C$173,C170)&gt;1,NOT(ISBLANK(C170)))</formula>
    </cfRule>
  </conditionalFormatting>
  <conditionalFormatting sqref="B174:B177">
    <cfRule type="duplicateValues" priority="47" dxfId="662" stopIfTrue="1">
      <formula>AND(COUNTIF($B$174:$B$177,B174)&gt;1,NOT(ISBLANK(B174)))</formula>
    </cfRule>
  </conditionalFormatting>
  <conditionalFormatting sqref="C174:C177">
    <cfRule type="duplicateValues" priority="46" dxfId="662">
      <formula>AND(COUNTIF($C$174:$C$177,C174)&gt;1,NOT(ISBLANK(C174)))</formula>
    </cfRule>
  </conditionalFormatting>
  <conditionalFormatting sqref="B178:B181">
    <cfRule type="duplicateValues" priority="45" dxfId="662" stopIfTrue="1">
      <formula>AND(COUNTIF($B$178:$B$181,B178)&gt;1,NOT(ISBLANK(B178)))</formula>
    </cfRule>
  </conditionalFormatting>
  <conditionalFormatting sqref="C178:C181">
    <cfRule type="duplicateValues" priority="44" dxfId="662">
      <formula>AND(COUNTIF($C$178:$C$181,C178)&gt;1,NOT(ISBLANK(C178)))</formula>
    </cfRule>
  </conditionalFormatting>
  <conditionalFormatting sqref="B182:B185">
    <cfRule type="duplicateValues" priority="43" dxfId="662" stopIfTrue="1">
      <formula>AND(COUNTIF($B$182:$B$185,B182)&gt;1,NOT(ISBLANK(B182)))</formula>
    </cfRule>
  </conditionalFormatting>
  <conditionalFormatting sqref="C182:C185">
    <cfRule type="duplicateValues" priority="42" dxfId="662">
      <formula>AND(COUNTIF($C$182:$C$185,C182)&gt;1,NOT(ISBLANK(C182)))</formula>
    </cfRule>
  </conditionalFormatting>
  <conditionalFormatting sqref="B186:B189">
    <cfRule type="duplicateValues" priority="41" dxfId="662" stopIfTrue="1">
      <formula>AND(COUNTIF($B$186:$B$189,B186)&gt;1,NOT(ISBLANK(B186)))</formula>
    </cfRule>
  </conditionalFormatting>
  <conditionalFormatting sqref="C186:C189">
    <cfRule type="duplicateValues" priority="40" dxfId="662">
      <formula>AND(COUNTIF($C$186:$C$189,C186)&gt;1,NOT(ISBLANK(C186)))</formula>
    </cfRule>
  </conditionalFormatting>
  <conditionalFormatting sqref="B190:B193">
    <cfRule type="duplicateValues" priority="39" dxfId="662" stopIfTrue="1">
      <formula>AND(COUNTIF($B$190:$B$193,B190)&gt;1,NOT(ISBLANK(B190)))</formula>
    </cfRule>
  </conditionalFormatting>
  <conditionalFormatting sqref="C190:C193">
    <cfRule type="duplicateValues" priority="38" dxfId="662">
      <formula>AND(COUNTIF($C$190:$C$193,C190)&gt;1,NOT(ISBLANK(C190)))</formula>
    </cfRule>
  </conditionalFormatting>
  <conditionalFormatting sqref="B194:B197">
    <cfRule type="duplicateValues" priority="37" dxfId="662" stopIfTrue="1">
      <formula>AND(COUNTIF($B$194:$B$197,B194)&gt;1,NOT(ISBLANK(B194)))</formula>
    </cfRule>
  </conditionalFormatting>
  <conditionalFormatting sqref="C194:C197">
    <cfRule type="duplicateValues" priority="36" dxfId="662">
      <formula>AND(COUNTIF($C$194:$C$197,C194)&gt;1,NOT(ISBLANK(C194)))</formula>
    </cfRule>
  </conditionalFormatting>
  <conditionalFormatting sqref="B198:B201">
    <cfRule type="duplicateValues" priority="35" dxfId="662" stopIfTrue="1">
      <formula>AND(COUNTIF($B$198:$B$201,B198)&gt;1,NOT(ISBLANK(B198)))</formula>
    </cfRule>
  </conditionalFormatting>
  <conditionalFormatting sqref="C198:C201">
    <cfRule type="duplicateValues" priority="34" dxfId="662">
      <formula>AND(COUNTIF($C$198:$C$201,C198)&gt;1,NOT(ISBLANK(C198)))</formula>
    </cfRule>
  </conditionalFormatting>
  <conditionalFormatting sqref="B202:B205">
    <cfRule type="duplicateValues" priority="33" dxfId="662" stopIfTrue="1">
      <formula>AND(COUNTIF($B$202:$B$205,B202)&gt;1,NOT(ISBLANK(B202)))</formula>
    </cfRule>
  </conditionalFormatting>
  <conditionalFormatting sqref="C202:C205">
    <cfRule type="duplicateValues" priority="32" dxfId="662">
      <formula>AND(COUNTIF($C$202:$C$205,C202)&gt;1,NOT(ISBLANK(C202)))</formula>
    </cfRule>
  </conditionalFormatting>
  <conditionalFormatting sqref="B206:B209">
    <cfRule type="duplicateValues" priority="31" dxfId="662" stopIfTrue="1">
      <formula>AND(COUNTIF($B$206:$B$209,B206)&gt;1,NOT(ISBLANK(B206)))</formula>
    </cfRule>
  </conditionalFormatting>
  <conditionalFormatting sqref="C206:C209">
    <cfRule type="duplicateValues" priority="30" dxfId="662">
      <formula>AND(COUNTIF($C$206:$C$209,C206)&gt;1,NOT(ISBLANK(C206)))</formula>
    </cfRule>
  </conditionalFormatting>
  <conditionalFormatting sqref="B210:B213">
    <cfRule type="duplicateValues" priority="29" dxfId="662" stopIfTrue="1">
      <formula>AND(COUNTIF($B$210:$B$213,B210)&gt;1,NOT(ISBLANK(B210)))</formula>
    </cfRule>
  </conditionalFormatting>
  <conditionalFormatting sqref="C210:C213">
    <cfRule type="duplicateValues" priority="28" dxfId="662">
      <formula>AND(COUNTIF($C$210:$C$213,C210)&gt;1,NOT(ISBLANK(C210)))</formula>
    </cfRule>
  </conditionalFormatting>
  <conditionalFormatting sqref="B214:B217">
    <cfRule type="duplicateValues" priority="27" dxfId="662" stopIfTrue="1">
      <formula>AND(COUNTIF($B$214:$B$217,B214)&gt;1,NOT(ISBLANK(B214)))</formula>
    </cfRule>
  </conditionalFormatting>
  <conditionalFormatting sqref="C214:C217">
    <cfRule type="duplicateValues" priority="26" dxfId="662">
      <formula>AND(COUNTIF($C$214:$C$217,C214)&gt;1,NOT(ISBLANK(C214)))</formula>
    </cfRule>
  </conditionalFormatting>
  <conditionalFormatting sqref="B218:B221">
    <cfRule type="duplicateValues" priority="25" dxfId="662" stopIfTrue="1">
      <formula>AND(COUNTIF($B$218:$B$221,B218)&gt;1,NOT(ISBLANK(B218)))</formula>
    </cfRule>
  </conditionalFormatting>
  <conditionalFormatting sqref="C218:C221">
    <cfRule type="duplicateValues" priority="24" dxfId="662">
      <formula>AND(COUNTIF($C$218:$C$221,C218)&gt;1,NOT(ISBLANK(C218)))</formula>
    </cfRule>
  </conditionalFormatting>
  <conditionalFormatting sqref="B222:B225">
    <cfRule type="duplicateValues" priority="23" dxfId="662" stopIfTrue="1">
      <formula>AND(COUNTIF($B$222:$B$225,B222)&gt;1,NOT(ISBLANK(B222)))</formula>
    </cfRule>
  </conditionalFormatting>
  <conditionalFormatting sqref="C222:C225">
    <cfRule type="duplicateValues" priority="22" dxfId="662">
      <formula>AND(COUNTIF($C$222:$C$225,C222)&gt;1,NOT(ISBLANK(C222)))</formula>
    </cfRule>
  </conditionalFormatting>
  <conditionalFormatting sqref="B226:B229">
    <cfRule type="duplicateValues" priority="21" dxfId="662" stopIfTrue="1">
      <formula>AND(COUNTIF($B$226:$B$229,B226)&gt;1,NOT(ISBLANK(B226)))</formula>
    </cfRule>
  </conditionalFormatting>
  <conditionalFormatting sqref="C226:C229">
    <cfRule type="duplicateValues" priority="20" dxfId="662">
      <formula>AND(COUNTIF($C$226:$C$229,C226)&gt;1,NOT(ISBLANK(C226)))</formula>
    </cfRule>
  </conditionalFormatting>
  <conditionalFormatting sqref="B230:B233">
    <cfRule type="duplicateValues" priority="19" dxfId="662" stopIfTrue="1">
      <formula>AND(COUNTIF($B$230:$B$233,B230)&gt;1,NOT(ISBLANK(B230)))</formula>
    </cfRule>
  </conditionalFormatting>
  <conditionalFormatting sqref="C230:C233">
    <cfRule type="duplicateValues" priority="18" dxfId="662">
      <formula>AND(COUNTIF($C$230:$C$233,C230)&gt;1,NOT(ISBLANK(C230)))</formula>
    </cfRule>
  </conditionalFormatting>
  <conditionalFormatting sqref="B234:B237">
    <cfRule type="duplicateValues" priority="17" dxfId="662" stopIfTrue="1">
      <formula>AND(COUNTIF($B$234:$B$237,B234)&gt;1,NOT(ISBLANK(B234)))</formula>
    </cfRule>
  </conditionalFormatting>
  <conditionalFormatting sqref="C234:C237">
    <cfRule type="duplicateValues" priority="16" dxfId="662">
      <formula>AND(COUNTIF($C$234:$C$237,C234)&gt;1,NOT(ISBLANK(C234)))</formula>
    </cfRule>
  </conditionalFormatting>
  <conditionalFormatting sqref="B238:B241">
    <cfRule type="duplicateValues" priority="15" dxfId="662" stopIfTrue="1">
      <formula>AND(COUNTIF($B$238:$B$241,B238)&gt;1,NOT(ISBLANK(B238)))</formula>
    </cfRule>
  </conditionalFormatting>
  <conditionalFormatting sqref="C238:C241">
    <cfRule type="duplicateValues" priority="14" dxfId="662">
      <formula>AND(COUNTIF($C$238:$C$241,C238)&gt;1,NOT(ISBLANK(C238)))</formula>
    </cfRule>
  </conditionalFormatting>
  <conditionalFormatting sqref="B242:B245">
    <cfRule type="duplicateValues" priority="13" dxfId="662" stopIfTrue="1">
      <formula>AND(COUNTIF($B$242:$B$245,B242)&gt;1,NOT(ISBLANK(B242)))</formula>
    </cfRule>
  </conditionalFormatting>
  <conditionalFormatting sqref="C242:C245">
    <cfRule type="duplicateValues" priority="12" dxfId="662">
      <formula>AND(COUNTIF($C$242:$C$245,C242)&gt;1,NOT(ISBLANK(C242)))</formula>
    </cfRule>
  </conditionalFormatting>
  <conditionalFormatting sqref="B246:B249">
    <cfRule type="duplicateValues" priority="11" dxfId="662" stopIfTrue="1">
      <formula>AND(COUNTIF($B$246:$B$249,B246)&gt;1,NOT(ISBLANK(B246)))</formula>
    </cfRule>
  </conditionalFormatting>
  <conditionalFormatting sqref="C246:C249">
    <cfRule type="duplicateValues" priority="10" dxfId="662">
      <formula>AND(COUNTIF($C$246:$C$249,C246)&gt;1,NOT(ISBLANK(C246)))</formula>
    </cfRule>
  </conditionalFormatting>
  <conditionalFormatting sqref="B250:B253">
    <cfRule type="duplicateValues" priority="9" dxfId="662" stopIfTrue="1">
      <formula>AND(COUNTIF($B$250:$B$253,B250)&gt;1,NOT(ISBLANK(B250)))</formula>
    </cfRule>
  </conditionalFormatting>
  <conditionalFormatting sqref="C250:C253">
    <cfRule type="duplicateValues" priority="8" dxfId="662">
      <formula>AND(COUNTIF($C$250:$C$253,C250)&gt;1,NOT(ISBLANK(C250)))</formula>
    </cfRule>
  </conditionalFormatting>
  <conditionalFormatting sqref="B6:B9">
    <cfRule type="duplicateValues" priority="131" dxfId="662" stopIfTrue="1">
      <formula>AND(COUNTIF($B$6:$B$9,B6)&gt;1,NOT(ISBLANK(B6)))</formula>
    </cfRule>
  </conditionalFormatting>
  <conditionalFormatting sqref="C6:C28 C30:C253">
    <cfRule type="duplicateValues" priority="7" dxfId="662">
      <formula>AND(COUNTIF($C$6:$C$28,C6)+COUNTIF($C$30:$C$253,C6)&gt;1,NOT(ISBLANK(C6)))</formula>
    </cfRule>
  </conditionalFormatting>
  <conditionalFormatting sqref="F6:F28 F30:F253">
    <cfRule type="cellIs" priority="4" dxfId="533" operator="between" stopIfTrue="1">
      <formula>35431</formula>
      <formula>36160</formula>
    </cfRule>
  </conditionalFormatting>
  <conditionalFormatting sqref="C29">
    <cfRule type="duplicateValues" priority="3" dxfId="662">
      <formula>AND(COUNTIF($C$29:$C$29,C29)&gt;1,NOT(ISBLANK(C29)))</formula>
    </cfRule>
  </conditionalFormatting>
  <conditionalFormatting sqref="C29">
    <cfRule type="duplicateValues" priority="2" dxfId="662">
      <formula>AND(COUNTIF($C$29:$C$29,C29)&gt;1,NOT(ISBLANK(C29)))</formula>
    </cfRule>
  </conditionalFormatting>
  <conditionalFormatting sqref="F29">
    <cfRule type="cellIs" priority="1" dxfId="533" operator="between" stopIfTrue="1">
      <formula>35431</formula>
      <formula>36160</formula>
    </cfRule>
  </conditionalFormatting>
  <printOptions horizontalCentered="1" verticalCentered="1"/>
  <pageMargins left="0.7086614173228347" right="0.2362204724409449" top="0.7086614173228347" bottom="0.31496062992125984" header="0.3937007874015748" footer="0.15748031496062992"/>
  <pageSetup fitToHeight="0"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P254"/>
  <sheetViews>
    <sheetView view="pageBreakPreview" zoomScaleSheetLayoutView="100" zoomScalePageLayoutView="0" workbookViewId="0" topLeftCell="A14">
      <selection activeCell="C21" sqref="C21"/>
    </sheetView>
  </sheetViews>
  <sheetFormatPr defaultColWidth="9.00390625" defaultRowHeight="12.75"/>
  <cols>
    <col min="1" max="1" width="5.125" style="30" customWidth="1"/>
    <col min="2" max="2" width="6.375" style="30" bestFit="1" customWidth="1"/>
    <col min="3" max="3" width="24.375" style="38" customWidth="1"/>
    <col min="4" max="4" width="31.75390625" style="38" customWidth="1"/>
    <col min="5" max="5" width="7.125" style="29" customWidth="1"/>
    <col min="6" max="6" width="10.125" style="30" bestFit="1" customWidth="1"/>
    <col min="7" max="7" width="9.125" style="84" customWidth="1"/>
    <col min="8" max="8" width="6.75390625" style="29" customWidth="1"/>
    <col min="9" max="16384" width="9.125" style="29" customWidth="1"/>
  </cols>
  <sheetData>
    <row r="1" spans="1:10" ht="33.75" customHeight="1">
      <c r="A1" s="261" t="str">
        <f>KAPAK!A2</f>
        <v>Aksaray Atletizm İl Temsilciliği</v>
      </c>
      <c r="B1" s="262"/>
      <c r="C1" s="262"/>
      <c r="D1" s="262"/>
      <c r="E1" s="262"/>
      <c r="F1" s="262"/>
      <c r="G1" s="262"/>
      <c r="H1" s="263"/>
      <c r="J1" s="30"/>
    </row>
    <row r="2" spans="1:8" ht="15.75">
      <c r="A2" s="264" t="str">
        <f>KAPAK!B24</f>
        <v>Küçükler ve Yıldızlar Bölgesel Kros Ligi 3.Kademe Yarışmaları</v>
      </c>
      <c r="B2" s="265"/>
      <c r="C2" s="265"/>
      <c r="D2" s="265"/>
      <c r="E2" s="265"/>
      <c r="F2" s="265"/>
      <c r="G2" s="265"/>
      <c r="H2" s="266"/>
    </row>
    <row r="3" spans="1:9" ht="14.25">
      <c r="A3" s="267" t="str">
        <f>KAPAK!B27</f>
        <v>Aksaray</v>
      </c>
      <c r="B3" s="268"/>
      <c r="C3" s="268"/>
      <c r="D3" s="268"/>
      <c r="E3" s="268"/>
      <c r="F3" s="268"/>
      <c r="G3" s="268"/>
      <c r="H3" s="269"/>
      <c r="I3" s="31"/>
    </row>
    <row r="4" spans="1:8" ht="15.75" customHeight="1">
      <c r="A4" s="259" t="str">
        <f>KAPAK!B26</f>
        <v>Yıldız Erkekler</v>
      </c>
      <c r="B4" s="260"/>
      <c r="C4" s="260"/>
      <c r="D4" s="155" t="str">
        <f>KAPAK!B25</f>
        <v>3 km.</v>
      </c>
      <c r="E4" s="39"/>
      <c r="F4" s="270">
        <f>KAPAK!B28</f>
        <v>41959.458333333336</v>
      </c>
      <c r="G4" s="270"/>
      <c r="H4" s="271"/>
    </row>
    <row r="5" spans="1:16" s="32" customFormat="1" ht="25.5">
      <c r="A5" s="160" t="s">
        <v>0</v>
      </c>
      <c r="B5" s="115" t="s">
        <v>1</v>
      </c>
      <c r="C5" s="115" t="s">
        <v>3</v>
      </c>
      <c r="D5" s="115" t="s">
        <v>17</v>
      </c>
      <c r="E5" s="115" t="s">
        <v>8</v>
      </c>
      <c r="F5" s="116" t="s">
        <v>2</v>
      </c>
      <c r="G5" s="117" t="s">
        <v>4</v>
      </c>
      <c r="H5" s="174" t="s">
        <v>15</v>
      </c>
      <c r="L5" s="33"/>
      <c r="M5" s="33"/>
      <c r="N5" s="33"/>
      <c r="O5" s="33"/>
      <c r="P5" s="33"/>
    </row>
    <row r="6" spans="1:10" ht="30.75" customHeight="1">
      <c r="A6" s="175">
        <f>IF(B6&lt;&gt;"",1,"")</f>
        <v>1</v>
      </c>
      <c r="B6" s="102">
        <v>294</v>
      </c>
      <c r="C6" s="35" t="str">
        <f>IF(ISERROR(VLOOKUP(B6,'START LİSTE'!$B$6:$F$1253,2,0)),"",VLOOKUP(B6,'START LİSTE'!$B$6:$F$1253,2,0))</f>
        <v>ŞAHİN BALKIŞ</v>
      </c>
      <c r="D6" s="35" t="str">
        <f>IF(ISERROR(VLOOKUP(B6,'START LİSTE'!$B$6:$F$1253,3,0)),"",VLOOKUP(B6,'START LİSTE'!$B$6:$F$1253,3,0))</f>
        <v>ADANA GSİM</v>
      </c>
      <c r="E6" s="36" t="str">
        <f>IF(ISERROR(VLOOKUP(B6,'START LİSTE'!$B$6:$F$1253,4,0)),"",VLOOKUP(B6,'START LİSTE'!$B$6:$F$1253,4,0))</f>
        <v>T</v>
      </c>
      <c r="F6" s="37">
        <f>IF(ISERROR(VLOOKUP($B6,'START LİSTE'!$B$6:$F$1253,5,0)),"",VLOOKUP($B6,'START LİSTE'!$B$6:$F$1253,5,0))</f>
        <v>36083</v>
      </c>
      <c r="G6" s="103">
        <v>928</v>
      </c>
      <c r="H6" s="176">
        <f>IF(OR(G6="DQ",G6="DNF",G6="DNS"),"-",IF(B6&lt;&gt;"",IF(E6="F",0,1),""))</f>
        <v>1</v>
      </c>
      <c r="J6" s="30"/>
    </row>
    <row r="7" spans="1:10" ht="30.75" customHeight="1">
      <c r="A7" s="175">
        <f>IF(B7&lt;&gt;"",A6+1,"")</f>
        <v>2</v>
      </c>
      <c r="B7" s="102">
        <v>291</v>
      </c>
      <c r="C7" s="35" t="str">
        <f>IF(ISERROR(VLOOKUP(B7,'START LİSTE'!$B$6:$F$1253,2,0)),"",VLOOKUP(B7,'START LİSTE'!$B$6:$F$1253,2,0))</f>
        <v>EMRE ÖREN</v>
      </c>
      <c r="D7" s="35" t="str">
        <f>IF(ISERROR(VLOOKUP(B7,'START LİSTE'!$B$6:$F$1253,3,0)),"",VLOOKUP(B7,'START LİSTE'!$B$6:$F$1253,3,0))</f>
        <v>ADANA GSİM</v>
      </c>
      <c r="E7" s="36" t="str">
        <f>IF(ISERROR(VLOOKUP(B7,'START LİSTE'!$B$6:$F$1253,4,0)),"",VLOOKUP(B7,'START LİSTE'!$B$6:$F$1253,4,0))</f>
        <v>T</v>
      </c>
      <c r="F7" s="37">
        <f>IF(ISERROR(VLOOKUP($B7,'START LİSTE'!$B$6:$F$1253,5,0)),"",VLOOKUP($B7,'START LİSTE'!$B$6:$F$1253,5,0))</f>
        <v>35535</v>
      </c>
      <c r="G7" s="103">
        <v>937</v>
      </c>
      <c r="H7" s="176">
        <f>IF(OR(G7="DQ",G7="DNF",G7="DNS"),"-",IF(B7&lt;&gt;"",IF(E7="F",H6,H6+1),""))</f>
        <v>2</v>
      </c>
      <c r="J7" s="30"/>
    </row>
    <row r="8" spans="1:10" ht="30.75" customHeight="1">
      <c r="A8" s="175">
        <f aca="true" t="shared" si="0" ref="A8:A71">IF(B8&lt;&gt;"",A7+1,"")</f>
        <v>3</v>
      </c>
      <c r="B8" s="102">
        <v>276</v>
      </c>
      <c r="C8" s="35" t="str">
        <f>IF(ISERROR(VLOOKUP(B8,'START LİSTE'!$B$6:$F$1253,2,0)),"",VLOOKUP(B8,'START LİSTE'!$B$6:$F$1253,2,0))</f>
        <v>MUHAMMED MUSTAFA HELVACI</v>
      </c>
      <c r="D8" s="35" t="str">
        <f>IF(ISERROR(VLOOKUP(B8,'START LİSTE'!$B$6:$F$1253,3,0)),"",VLOOKUP(B8,'START LİSTE'!$B$6:$F$1253,3,0))</f>
        <v>HATAY-B.ŞHR.BLD.GSK.</v>
      </c>
      <c r="E8" s="36" t="str">
        <f>IF(ISERROR(VLOOKUP(B8,'START LİSTE'!$B$6:$F$1253,4,0)),"",VLOOKUP(B8,'START LİSTE'!$B$6:$F$1253,4,0))</f>
        <v>T</v>
      </c>
      <c r="F8" s="37">
        <f>IF(ISERROR(VLOOKUP($B8,'START LİSTE'!$B$6:$F$1253,5,0)),"",VLOOKUP($B8,'START LİSTE'!$B$6:$F$1253,5,0))</f>
        <v>35862</v>
      </c>
      <c r="G8" s="103">
        <v>937</v>
      </c>
      <c r="H8" s="176">
        <f aca="true" t="shared" si="1" ref="H8:H71">IF(OR(G8="DQ",G8="DNF",G8="DNS"),"-",IF(B8&lt;&gt;"",IF(E8="F",H7,H7+1),""))</f>
        <v>3</v>
      </c>
      <c r="J8" s="30"/>
    </row>
    <row r="9" spans="1:8" ht="30.75" customHeight="1">
      <c r="A9" s="175">
        <f t="shared" si="0"/>
        <v>4</v>
      </c>
      <c r="B9" s="102">
        <v>303</v>
      </c>
      <c r="C9" s="35" t="str">
        <f>IF(ISERROR(VLOOKUP(B9,'START LİSTE'!$B$6:$F$1253,2,0)),"",VLOOKUP(B9,'START LİSTE'!$B$6:$F$1253,2,0))</f>
        <v>KADİR EŞREF KARAASLAN</v>
      </c>
      <c r="D9" s="35" t="str">
        <f>IF(ISERROR(VLOOKUP(B9,'START LİSTE'!$B$6:$F$1253,3,0)),"",VLOOKUP(B9,'START LİSTE'!$B$6:$F$1253,3,0))</f>
        <v>MERSİN</v>
      </c>
      <c r="E9" s="36" t="str">
        <f>IF(ISERROR(VLOOKUP(B9,'START LİSTE'!$B$6:$F$1253,4,0)),"",VLOOKUP(B9,'START LİSTE'!$B$6:$F$1253,4,0))</f>
        <v>F</v>
      </c>
      <c r="F9" s="37">
        <f>IF(ISERROR(VLOOKUP($B9,'START LİSTE'!$B$6:$F$1253,5,0)),"",VLOOKUP($B9,'START LİSTE'!$B$6:$F$1253,5,0))</f>
        <v>35462</v>
      </c>
      <c r="G9" s="103">
        <v>939</v>
      </c>
      <c r="H9" s="176">
        <f t="shared" si="1"/>
        <v>3</v>
      </c>
    </row>
    <row r="10" spans="1:8" ht="30.75" customHeight="1">
      <c r="A10" s="175">
        <f t="shared" si="0"/>
        <v>5</v>
      </c>
      <c r="B10" s="102">
        <v>292</v>
      </c>
      <c r="C10" s="35" t="str">
        <f>IF(ISERROR(VLOOKUP(B10,'START LİSTE'!$B$6:$F$1253,2,0)),"",VLOOKUP(B10,'START LİSTE'!$B$6:$F$1253,2,0))</f>
        <v>ATİLLA MURATOĞLU</v>
      </c>
      <c r="D10" s="35" t="str">
        <f>IF(ISERROR(VLOOKUP(B10,'START LİSTE'!$B$6:$F$1253,3,0)),"",VLOOKUP(B10,'START LİSTE'!$B$6:$F$1253,3,0))</f>
        <v>ADANA GSİM</v>
      </c>
      <c r="E10" s="36" t="str">
        <f>IF(ISERROR(VLOOKUP(B10,'START LİSTE'!$B$6:$F$1253,4,0)),"",VLOOKUP(B10,'START LİSTE'!$B$6:$F$1253,4,0))</f>
        <v>T</v>
      </c>
      <c r="F10" s="37">
        <f>IF(ISERROR(VLOOKUP($B10,'START LİSTE'!$B$6:$F$1253,5,0)),"",VLOOKUP($B10,'START LİSTE'!$B$6:$F$1253,5,0))</f>
        <v>35598</v>
      </c>
      <c r="G10" s="103">
        <v>952</v>
      </c>
      <c r="H10" s="176">
        <f t="shared" si="1"/>
        <v>4</v>
      </c>
    </row>
    <row r="11" spans="1:8" ht="30.75" customHeight="1">
      <c r="A11" s="175">
        <f t="shared" si="0"/>
        <v>6</v>
      </c>
      <c r="B11" s="102">
        <v>275</v>
      </c>
      <c r="C11" s="35" t="str">
        <f>IF(ISERROR(VLOOKUP(B11,'START LİSTE'!$B$6:$F$1253,2,0)),"",VLOOKUP(B11,'START LİSTE'!$B$6:$F$1253,2,0))</f>
        <v>ANIL ÖZÇELİK</v>
      </c>
      <c r="D11" s="35" t="str">
        <f>IF(ISERROR(VLOOKUP(B11,'START LİSTE'!$B$6:$F$1253,3,0)),"",VLOOKUP(B11,'START LİSTE'!$B$6:$F$1253,3,0))</f>
        <v>HATAY-B.ŞHR.BLD.GSK.</v>
      </c>
      <c r="E11" s="36" t="str">
        <f>IF(ISERROR(VLOOKUP(B11,'START LİSTE'!$B$6:$F$1253,4,0)),"",VLOOKUP(B11,'START LİSTE'!$B$6:$F$1253,4,0))</f>
        <v>T</v>
      </c>
      <c r="F11" s="37">
        <f>IF(ISERROR(VLOOKUP($B11,'START LİSTE'!$B$6:$F$1253,5,0)),"",VLOOKUP($B11,'START LİSTE'!$B$6:$F$1253,5,0))</f>
        <v>36088</v>
      </c>
      <c r="G11" s="103">
        <v>956</v>
      </c>
      <c r="H11" s="176">
        <f t="shared" si="1"/>
        <v>5</v>
      </c>
    </row>
    <row r="12" spans="1:8" ht="30.75" customHeight="1">
      <c r="A12" s="175">
        <f t="shared" si="0"/>
        <v>7</v>
      </c>
      <c r="B12" s="102">
        <v>283</v>
      </c>
      <c r="C12" s="35" t="str">
        <f>IF(ISERROR(VLOOKUP(B12,'START LİSTE'!$B$6:$F$1253,2,0)),"",VLOOKUP(B12,'START LİSTE'!$B$6:$F$1253,2,0))</f>
        <v>YUNUS EMRE YILMAZ</v>
      </c>
      <c r="D12" s="35" t="str">
        <f>IF(ISERROR(VLOOKUP(B12,'START LİSTE'!$B$6:$F$1253,3,0)),"",VLOOKUP(B12,'START LİSTE'!$B$6:$F$1253,3,0))</f>
        <v>NİĞDE-NİĞDE GÜCÜ SK.</v>
      </c>
      <c r="E12" s="36" t="str">
        <f>IF(ISERROR(VLOOKUP(B12,'START LİSTE'!$B$6:$F$1253,4,0)),"",VLOOKUP(B12,'START LİSTE'!$B$6:$F$1253,4,0))</f>
        <v>T</v>
      </c>
      <c r="F12" s="37">
        <f>IF(ISERROR(VLOOKUP($B12,'START LİSTE'!$B$6:$F$1253,5,0)),"",VLOOKUP($B12,'START LİSTE'!$B$6:$F$1253,5,0))</f>
        <v>35601</v>
      </c>
      <c r="G12" s="103">
        <v>1006</v>
      </c>
      <c r="H12" s="176">
        <f t="shared" si="1"/>
        <v>6</v>
      </c>
    </row>
    <row r="13" spans="1:8" ht="30.75" customHeight="1">
      <c r="A13" s="175">
        <f t="shared" si="0"/>
        <v>8</v>
      </c>
      <c r="B13" s="102">
        <v>277</v>
      </c>
      <c r="C13" s="35" t="str">
        <f>IF(ISERROR(VLOOKUP(B13,'START LİSTE'!$B$6:$F$1253,2,0)),"",VLOOKUP(B13,'START LİSTE'!$B$6:$F$1253,2,0))</f>
        <v>AHMET ÖZÇELİK</v>
      </c>
      <c r="D13" s="35" t="str">
        <f>IF(ISERROR(VLOOKUP(B13,'START LİSTE'!$B$6:$F$1253,3,0)),"",VLOOKUP(B13,'START LİSTE'!$B$6:$F$1253,3,0))</f>
        <v>HATAY-B.ŞHR.BLD.GSK.</v>
      </c>
      <c r="E13" s="36" t="str">
        <f>IF(ISERROR(VLOOKUP(B13,'START LİSTE'!$B$6:$F$1253,4,0)),"",VLOOKUP(B13,'START LİSTE'!$B$6:$F$1253,4,0))</f>
        <v>T</v>
      </c>
      <c r="F13" s="37">
        <f>IF(ISERROR(VLOOKUP($B13,'START LİSTE'!$B$6:$F$1253,5,0)),"",VLOOKUP($B13,'START LİSTE'!$B$6:$F$1253,5,0))</f>
        <v>35507</v>
      </c>
      <c r="G13" s="103">
        <v>1011</v>
      </c>
      <c r="H13" s="176">
        <f t="shared" si="1"/>
        <v>7</v>
      </c>
    </row>
    <row r="14" spans="1:8" ht="30.75" customHeight="1">
      <c r="A14" s="175">
        <f t="shared" si="0"/>
        <v>9</v>
      </c>
      <c r="B14" s="102">
        <v>278</v>
      </c>
      <c r="C14" s="35" t="str">
        <f>IF(ISERROR(VLOOKUP(B14,'START LİSTE'!$B$6:$F$1253,2,0)),"",VLOOKUP(B14,'START LİSTE'!$B$6:$F$1253,2,0))</f>
        <v>GÜRSEL VELİECEOĞLU</v>
      </c>
      <c r="D14" s="35" t="str">
        <f>IF(ISERROR(VLOOKUP(B14,'START LİSTE'!$B$6:$F$1253,3,0)),"",VLOOKUP(B14,'START LİSTE'!$B$6:$F$1253,3,0))</f>
        <v>HATAY-B.ŞHR.BLD.GSK.</v>
      </c>
      <c r="E14" s="36" t="str">
        <f>IF(ISERROR(VLOOKUP(B14,'START LİSTE'!$B$6:$F$1253,4,0)),"",VLOOKUP(B14,'START LİSTE'!$B$6:$F$1253,4,0))</f>
        <v>T</v>
      </c>
      <c r="F14" s="37">
        <f>IF(ISERROR(VLOOKUP($B14,'START LİSTE'!$B$6:$F$1253,5,0)),"",VLOOKUP($B14,'START LİSTE'!$B$6:$F$1253,5,0))</f>
        <v>35445</v>
      </c>
      <c r="G14" s="103">
        <v>1014</v>
      </c>
      <c r="H14" s="176">
        <f t="shared" si="1"/>
        <v>8</v>
      </c>
    </row>
    <row r="15" spans="1:8" ht="30.75" customHeight="1">
      <c r="A15" s="175">
        <f t="shared" si="0"/>
        <v>10</v>
      </c>
      <c r="B15" s="102">
        <v>288</v>
      </c>
      <c r="C15" s="35" t="str">
        <f>IF(ISERROR(VLOOKUP(B15,'START LİSTE'!$B$6:$F$1253,2,0)),"",VLOOKUP(B15,'START LİSTE'!$B$6:$F$1253,2,0))</f>
        <v>MEHMET ŞENOL</v>
      </c>
      <c r="D15" s="35" t="str">
        <f>IF(ISERROR(VLOOKUP(B15,'START LİSTE'!$B$6:$F$1253,3,0)),"",VLOOKUP(B15,'START LİSTE'!$B$6:$F$1253,3,0))</f>
        <v>OSMANİYE - GENÇLİK SPOR KÜLÜBÜ</v>
      </c>
      <c r="E15" s="36" t="str">
        <f>IF(ISERROR(VLOOKUP(B15,'START LİSTE'!$B$6:$F$1253,4,0)),"",VLOOKUP(B15,'START LİSTE'!$B$6:$F$1253,4,0))</f>
        <v>T</v>
      </c>
      <c r="F15" s="37">
        <f>IF(ISERROR(VLOOKUP($B15,'START LİSTE'!$B$6:$F$1253,5,0)),"",VLOOKUP($B15,'START LİSTE'!$B$6:$F$1253,5,0))</f>
        <v>35490</v>
      </c>
      <c r="G15" s="103">
        <v>1014</v>
      </c>
      <c r="H15" s="176">
        <f t="shared" si="1"/>
        <v>9</v>
      </c>
    </row>
    <row r="16" spans="1:8" ht="30.75" customHeight="1">
      <c r="A16" s="175">
        <f t="shared" si="0"/>
        <v>11</v>
      </c>
      <c r="B16" s="102">
        <v>293</v>
      </c>
      <c r="C16" s="35" t="str">
        <f>IF(ISERROR(VLOOKUP(B16,'START LİSTE'!$B$6:$F$1253,2,0)),"",VLOOKUP(B16,'START LİSTE'!$B$6:$F$1253,2,0))</f>
        <v>EMRE GÜZEL</v>
      </c>
      <c r="D16" s="35" t="str">
        <f>IF(ISERROR(VLOOKUP(B16,'START LİSTE'!$B$6:$F$1253,3,0)),"",VLOOKUP(B16,'START LİSTE'!$B$6:$F$1253,3,0))</f>
        <v>ADANA GSİM</v>
      </c>
      <c r="E16" s="36" t="str">
        <f>IF(ISERROR(VLOOKUP(B16,'START LİSTE'!$B$6:$F$1253,4,0)),"",VLOOKUP(B16,'START LİSTE'!$B$6:$F$1253,4,0))</f>
        <v>T</v>
      </c>
      <c r="F16" s="37">
        <f>IF(ISERROR(VLOOKUP($B16,'START LİSTE'!$B$6:$F$1253,5,0)),"",VLOOKUP($B16,'START LİSTE'!$B$6:$F$1253,5,0))</f>
        <v>35835</v>
      </c>
      <c r="G16" s="103">
        <v>1018</v>
      </c>
      <c r="H16" s="176">
        <f t="shared" si="1"/>
        <v>10</v>
      </c>
    </row>
    <row r="17" spans="1:8" ht="30.75" customHeight="1">
      <c r="A17" s="175">
        <f t="shared" si="0"/>
        <v>12</v>
      </c>
      <c r="B17" s="102">
        <v>290</v>
      </c>
      <c r="C17" s="35" t="str">
        <f>IF(ISERROR(VLOOKUP(B17,'START LİSTE'!$B$6:$F$1253,2,0)),"",VLOOKUP(B17,'START LİSTE'!$B$6:$F$1253,2,0))</f>
        <v>İSA SAVAŞ</v>
      </c>
      <c r="D17" s="35" t="str">
        <f>IF(ISERROR(VLOOKUP(B17,'START LİSTE'!$B$6:$F$1253,3,0)),"",VLOOKUP(B17,'START LİSTE'!$B$6:$F$1253,3,0))</f>
        <v>OSMANİYE - GENÇLİK SPOR KÜLÜBÜ</v>
      </c>
      <c r="E17" s="36" t="str">
        <f>IF(ISERROR(VLOOKUP(B17,'START LİSTE'!$B$6:$F$1253,4,0)),"",VLOOKUP(B17,'START LİSTE'!$B$6:$F$1253,4,0))</f>
        <v>T</v>
      </c>
      <c r="F17" s="37">
        <f>IF(ISERROR(VLOOKUP($B17,'START LİSTE'!$B$6:$F$1253,5,0)),"",VLOOKUP($B17,'START LİSTE'!$B$6:$F$1253,5,0))</f>
        <v>35784</v>
      </c>
      <c r="G17" s="103">
        <v>1022</v>
      </c>
      <c r="H17" s="176">
        <f t="shared" si="1"/>
        <v>11</v>
      </c>
    </row>
    <row r="18" spans="1:8" ht="30.75" customHeight="1">
      <c r="A18" s="175">
        <f t="shared" si="0"/>
        <v>13</v>
      </c>
      <c r="B18" s="102">
        <v>308</v>
      </c>
      <c r="C18" s="35" t="str">
        <f>IF(ISERROR(VLOOKUP(B18,'START LİSTE'!$B$6:$F$1253,2,0)),"",VLOOKUP(B18,'START LİSTE'!$B$6:$F$1253,2,0))</f>
        <v>HÜSEYİN MUTLU</v>
      </c>
      <c r="D18" s="35" t="str">
        <f>IF(ISERROR(VLOOKUP(B18,'START LİSTE'!$B$6:$F$1253,3,0)),"",VLOOKUP(B18,'START LİSTE'!$B$6:$F$1253,3,0))</f>
        <v>HATAY</v>
      </c>
      <c r="E18" s="36" t="str">
        <f>IF(ISERROR(VLOOKUP(B18,'START LİSTE'!$B$6:$F$1253,4,0)),"",VLOOKUP(B18,'START LİSTE'!$B$6:$F$1253,4,0))</f>
        <v>F</v>
      </c>
      <c r="F18" s="37">
        <f>IF(ISERROR(VLOOKUP($B18,'START LİSTE'!$B$6:$F$1253,5,0)),"",VLOOKUP($B18,'START LİSTE'!$B$6:$F$1253,5,0))</f>
        <v>35797</v>
      </c>
      <c r="G18" s="103">
        <v>1026</v>
      </c>
      <c r="H18" s="176">
        <f t="shared" si="1"/>
        <v>11</v>
      </c>
    </row>
    <row r="19" spans="1:8" ht="30.75" customHeight="1">
      <c r="A19" s="175">
        <f t="shared" si="0"/>
        <v>14</v>
      </c>
      <c r="B19" s="102">
        <v>284</v>
      </c>
      <c r="C19" s="35" t="str">
        <f>IF(ISERROR(VLOOKUP(B19,'START LİSTE'!$B$6:$F$1253,2,0)),"",VLOOKUP(B19,'START LİSTE'!$B$6:$F$1253,2,0))</f>
        <v>MÜCAHİT KARABACAK</v>
      </c>
      <c r="D19" s="35" t="str">
        <f>IF(ISERROR(VLOOKUP(B19,'START LİSTE'!$B$6:$F$1253,3,0)),"",VLOOKUP(B19,'START LİSTE'!$B$6:$F$1253,3,0))</f>
        <v>NİĞDE-NİĞDE GÜCÜ SK.</v>
      </c>
      <c r="E19" s="36" t="str">
        <f>IF(ISERROR(VLOOKUP(B19,'START LİSTE'!$B$6:$F$1253,4,0)),"",VLOOKUP(B19,'START LİSTE'!$B$6:$F$1253,4,0))</f>
        <v>T</v>
      </c>
      <c r="F19" s="37">
        <f>IF(ISERROR(VLOOKUP($B19,'START LİSTE'!$B$6:$F$1253,5,0)),"",VLOOKUP($B19,'START LİSTE'!$B$6:$F$1253,5,0))</f>
        <v>36077</v>
      </c>
      <c r="G19" s="103">
        <v>1030</v>
      </c>
      <c r="H19" s="176">
        <f t="shared" si="1"/>
        <v>12</v>
      </c>
    </row>
    <row r="20" spans="1:8" ht="30.75" customHeight="1">
      <c r="A20" s="175">
        <f t="shared" si="0"/>
        <v>15</v>
      </c>
      <c r="B20" s="102">
        <v>289</v>
      </c>
      <c r="C20" s="35" t="str">
        <f>IF(ISERROR(VLOOKUP(B20,'START LİSTE'!$B$6:$F$1253,2,0)),"",VLOOKUP(B20,'START LİSTE'!$B$6:$F$1253,2,0))</f>
        <v>AKİF KARA</v>
      </c>
      <c r="D20" s="35" t="str">
        <f>IF(ISERROR(VLOOKUP(B20,'START LİSTE'!$B$6:$F$1253,3,0)),"",VLOOKUP(B20,'START LİSTE'!$B$6:$F$1253,3,0))</f>
        <v>OSMANİYE - GENÇLİK SPOR KÜLÜBÜ</v>
      </c>
      <c r="E20" s="36" t="str">
        <f>IF(ISERROR(VLOOKUP(B20,'START LİSTE'!$B$6:$F$1253,4,0)),"",VLOOKUP(B20,'START LİSTE'!$B$6:$F$1253,4,0))</f>
        <v>T</v>
      </c>
      <c r="F20" s="37">
        <f>IF(ISERROR(VLOOKUP($B20,'START LİSTE'!$B$6:$F$1253,5,0)),"",VLOOKUP($B20,'START LİSTE'!$B$6:$F$1253,5,0))</f>
        <v>35764</v>
      </c>
      <c r="G20" s="103">
        <v>1041</v>
      </c>
      <c r="H20" s="176">
        <f t="shared" si="1"/>
        <v>13</v>
      </c>
    </row>
    <row r="21" spans="1:8" ht="30.75" customHeight="1">
      <c r="A21" s="175">
        <f t="shared" si="0"/>
        <v>16</v>
      </c>
      <c r="B21" s="102">
        <v>285</v>
      </c>
      <c r="C21" s="35" t="str">
        <f>IF(ISERROR(VLOOKUP(B21,'START LİSTE'!$B$6:$F$1253,2,0)),"",VLOOKUP(B21,'START LİSTE'!$B$6:$F$1253,2,0))</f>
        <v>AHMET IŞIK</v>
      </c>
      <c r="D21" s="35" t="str">
        <f>IF(ISERROR(VLOOKUP(B21,'START LİSTE'!$B$6:$F$1253,3,0)),"",VLOOKUP(B21,'START LİSTE'!$B$6:$F$1253,3,0))</f>
        <v>NİĞDE-NİĞDE GÜCÜ SK.</v>
      </c>
      <c r="E21" s="36" t="str">
        <f>IF(ISERROR(VLOOKUP(B21,'START LİSTE'!$B$6:$F$1253,4,0)),"",VLOOKUP(B21,'START LİSTE'!$B$6:$F$1253,4,0))</f>
        <v>T</v>
      </c>
      <c r="F21" s="37">
        <f>IF(ISERROR(VLOOKUP($B21,'START LİSTE'!$B$6:$F$1253,5,0)),"",VLOOKUP($B21,'START LİSTE'!$B$6:$F$1253,5,0))</f>
        <v>35796</v>
      </c>
      <c r="G21" s="103">
        <v>1053</v>
      </c>
      <c r="H21" s="176">
        <f t="shared" si="1"/>
        <v>14</v>
      </c>
    </row>
    <row r="22" spans="1:8" ht="30.75" customHeight="1">
      <c r="A22" s="175">
        <f t="shared" si="0"/>
        <v>17</v>
      </c>
      <c r="B22" s="102">
        <v>286</v>
      </c>
      <c r="C22" s="35" t="str">
        <f>IF(ISERROR(VLOOKUP(B22,'START LİSTE'!$B$6:$F$1253,2,0)),"",VLOOKUP(B22,'START LİSTE'!$B$6:$F$1253,2,0))</f>
        <v>MEHMET CAVDAR</v>
      </c>
      <c r="D22" s="35" t="str">
        <f>IF(ISERROR(VLOOKUP(B22,'START LİSTE'!$B$6:$F$1253,3,0)),"",VLOOKUP(B22,'START LİSTE'!$B$6:$F$1253,3,0))</f>
        <v>NİĞDE-NİĞDE GÜCÜ SK.</v>
      </c>
      <c r="E22" s="36" t="str">
        <f>IF(ISERROR(VLOOKUP(B22,'START LİSTE'!$B$6:$F$1253,4,0)),"",VLOOKUP(B22,'START LİSTE'!$B$6:$F$1253,4,0))</f>
        <v>T</v>
      </c>
      <c r="F22" s="37">
        <f>IF(ISERROR(VLOOKUP($B22,'START LİSTE'!$B$6:$F$1253,5,0)),"",VLOOKUP($B22,'START LİSTE'!$B$6:$F$1253,5,0))</f>
        <v>36114</v>
      </c>
      <c r="G22" s="103">
        <v>1118</v>
      </c>
      <c r="H22" s="176">
        <f t="shared" si="1"/>
        <v>15</v>
      </c>
    </row>
    <row r="23" spans="1:8" ht="30.75" customHeight="1">
      <c r="A23" s="175">
        <f t="shared" si="0"/>
        <v>18</v>
      </c>
      <c r="B23" s="102">
        <v>307</v>
      </c>
      <c r="C23" s="35" t="str">
        <f>IF(ISERROR(VLOOKUP(B23,'START LİSTE'!$B$6:$F$1253,2,0)),"",VLOOKUP(B23,'START LİSTE'!$B$6:$F$1253,2,0))</f>
        <v>İBRAHİM ŞİRİN</v>
      </c>
      <c r="D23" s="35" t="str">
        <f>IF(ISERROR(VLOOKUP(B23,'START LİSTE'!$B$6:$F$1253,3,0)),"",VLOOKUP(B23,'START LİSTE'!$B$6:$F$1253,3,0))</f>
        <v>HATAY</v>
      </c>
      <c r="E23" s="36" t="str">
        <f>IF(ISERROR(VLOOKUP(B23,'START LİSTE'!$B$6:$F$1253,4,0)),"",VLOOKUP(B23,'START LİSTE'!$B$6:$F$1253,4,0))</f>
        <v>F</v>
      </c>
      <c r="F23" s="37">
        <f>IF(ISERROR(VLOOKUP($B23,'START LİSTE'!$B$6:$F$1253,5,0)),"",VLOOKUP($B23,'START LİSTE'!$B$6:$F$1253,5,0))</f>
        <v>35636</v>
      </c>
      <c r="G23" s="103">
        <v>1156</v>
      </c>
      <c r="H23" s="176">
        <f t="shared" si="1"/>
        <v>15</v>
      </c>
    </row>
    <row r="24" spans="1:8" ht="30.75" customHeight="1">
      <c r="A24" s="175">
        <f t="shared" si="0"/>
        <v>19</v>
      </c>
      <c r="B24" s="102">
        <v>287</v>
      </c>
      <c r="C24" s="35" t="str">
        <f>IF(ISERROR(VLOOKUP(B24,'START LİSTE'!$B$6:$F$1253,2,0)),"",VLOOKUP(B24,'START LİSTE'!$B$6:$F$1253,2,0))</f>
        <v>MEHMET TOSUN</v>
      </c>
      <c r="D24" s="35" t="str">
        <f>IF(ISERROR(VLOOKUP(B24,'START LİSTE'!$B$6:$F$1253,3,0)),"",VLOOKUP(B24,'START LİSTE'!$B$6:$F$1253,3,0))</f>
        <v>OSMANİYE - GENÇLİK SPOR KÜLÜBÜ</v>
      </c>
      <c r="E24" s="36" t="str">
        <f>IF(ISERROR(VLOOKUP(B24,'START LİSTE'!$B$6:$F$1253,4,0)),"",VLOOKUP(B24,'START LİSTE'!$B$6:$F$1253,4,0))</f>
        <v>T</v>
      </c>
      <c r="F24" s="37">
        <f>IF(ISERROR(VLOOKUP($B24,'START LİSTE'!$B$6:$F$1253,5,0)),"",VLOOKUP($B24,'START LİSTE'!$B$6:$F$1253,5,0))</f>
        <v>35496</v>
      </c>
      <c r="G24" s="103">
        <v>1305</v>
      </c>
      <c r="H24" s="176">
        <f t="shared" si="1"/>
        <v>16</v>
      </c>
    </row>
    <row r="25" spans="1:8" ht="30.75" customHeight="1" thickBot="1">
      <c r="A25" s="177">
        <f t="shared" si="0"/>
      </c>
      <c r="B25" s="178"/>
      <c r="C25" s="179">
        <f>IF(ISERROR(VLOOKUP(B25,'START LİSTE'!$B$6:$F$1253,2,0)),"",VLOOKUP(B25,'START LİSTE'!$B$6:$F$1253,2,0))</f>
      </c>
      <c r="D25" s="179">
        <f>IF(ISERROR(VLOOKUP(B25,'START LİSTE'!$B$6:$F$1253,3,0)),"",VLOOKUP(B25,'START LİSTE'!$B$6:$F$1253,3,0))</f>
      </c>
      <c r="E25" s="180">
        <f>IF(ISERROR(VLOOKUP(B25,'START LİSTE'!$B$6:$F$1253,4,0)),"",VLOOKUP(B25,'START LİSTE'!$B$6:$F$1253,4,0))</f>
      </c>
      <c r="F25" s="181">
        <f>IF(ISERROR(VLOOKUP($B25,'START LİSTE'!$B$6:$F$1253,5,0)),"",VLOOKUP($B25,'START LİSTE'!$B$6:$F$1253,5,0))</f>
      </c>
      <c r="G25" s="182"/>
      <c r="H25" s="183">
        <f t="shared" si="1"/>
      </c>
    </row>
    <row r="26" spans="1:8" ht="17.25" customHeight="1">
      <c r="A26" s="168">
        <f t="shared" si="0"/>
      </c>
      <c r="B26" s="169"/>
      <c r="C26" s="170">
        <f>IF(ISERROR(VLOOKUP(B26,'START LİSTE'!$B$6:$F$1253,2,0)),"",VLOOKUP(B26,'START LİSTE'!$B$6:$F$1253,2,0))</f>
      </c>
      <c r="D26" s="170">
        <f>IF(ISERROR(VLOOKUP(B26,'START LİSTE'!$B$6:$F$1253,3,0)),"",VLOOKUP(B26,'START LİSTE'!$B$6:$F$1253,3,0))</f>
      </c>
      <c r="E26" s="171">
        <f>IF(ISERROR(VLOOKUP(B26,'START LİSTE'!$B$6:$F$1253,4,0)),"",VLOOKUP(B26,'START LİSTE'!$B$6:$F$1253,4,0))</f>
      </c>
      <c r="F26" s="172">
        <f>IF(ISERROR(VLOOKUP($B26,'START LİSTE'!$B$6:$F$1253,5,0)),"",VLOOKUP($B26,'START LİSTE'!$B$6:$F$1253,5,0))</f>
      </c>
      <c r="G26" s="173"/>
      <c r="H26" s="135">
        <f t="shared" si="1"/>
      </c>
    </row>
    <row r="27" spans="1:8" ht="17.25" customHeight="1">
      <c r="A27" s="34">
        <f t="shared" si="0"/>
      </c>
      <c r="B27" s="102"/>
      <c r="C27" s="35">
        <f>IF(ISERROR(VLOOKUP(B27,'START LİSTE'!$B$6:$F$1253,2,0)),"",VLOOKUP(B27,'START LİSTE'!$B$6:$F$1253,2,0))</f>
      </c>
      <c r="D27" s="35">
        <f>IF(ISERROR(VLOOKUP(B27,'START LİSTE'!$B$6:$F$1253,3,0)),"",VLOOKUP(B27,'START LİSTE'!$B$6:$F$1253,3,0))</f>
      </c>
      <c r="E27" s="36">
        <f>IF(ISERROR(VLOOKUP(B27,'START LİSTE'!$B$6:$F$1253,4,0)),"",VLOOKUP(B27,'START LİSTE'!$B$6:$F$1253,4,0))</f>
      </c>
      <c r="F27" s="37">
        <f>IF(ISERROR(VLOOKUP($B27,'START LİSTE'!$B$6:$F$1253,5,0)),"",VLOOKUP($B27,'START LİSTE'!$B$6:$F$1253,5,0))</f>
      </c>
      <c r="G27" s="103"/>
      <c r="H27" s="135">
        <f t="shared" si="1"/>
      </c>
    </row>
    <row r="28" spans="1:8" ht="17.25" customHeight="1">
      <c r="A28" s="34">
        <f t="shared" si="0"/>
      </c>
      <c r="B28" s="102"/>
      <c r="C28" s="35">
        <f>IF(ISERROR(VLOOKUP(B28,'START LİSTE'!$B$6:$F$1253,2,0)),"",VLOOKUP(B28,'START LİSTE'!$B$6:$F$1253,2,0))</f>
      </c>
      <c r="D28" s="35">
        <f>IF(ISERROR(VLOOKUP(B28,'START LİSTE'!$B$6:$F$1253,3,0)),"",VLOOKUP(B28,'START LİSTE'!$B$6:$F$1253,3,0))</f>
      </c>
      <c r="E28" s="36">
        <f>IF(ISERROR(VLOOKUP(B28,'START LİSTE'!$B$6:$F$1253,4,0)),"",VLOOKUP(B28,'START LİSTE'!$B$6:$F$1253,4,0))</f>
      </c>
      <c r="F28" s="37">
        <f>IF(ISERROR(VLOOKUP($B28,'START LİSTE'!$B$6:$F$1253,5,0)),"",VLOOKUP($B28,'START LİSTE'!$B$6:$F$1253,5,0))</f>
      </c>
      <c r="G28" s="103"/>
      <c r="H28" s="135">
        <f t="shared" si="1"/>
      </c>
    </row>
    <row r="29" spans="1:8" ht="17.25" customHeight="1">
      <c r="A29" s="34">
        <f t="shared" si="0"/>
      </c>
      <c r="B29" s="102"/>
      <c r="C29" s="35">
        <f>IF(ISERROR(VLOOKUP(B29,'START LİSTE'!$B$6:$F$1253,2,0)),"",VLOOKUP(B29,'START LİSTE'!$B$6:$F$1253,2,0))</f>
      </c>
      <c r="D29" s="35">
        <f>IF(ISERROR(VLOOKUP(B29,'START LİSTE'!$B$6:$F$1253,3,0)),"",VLOOKUP(B29,'START LİSTE'!$B$6:$F$1253,3,0))</f>
      </c>
      <c r="E29" s="36">
        <f>IF(ISERROR(VLOOKUP(B29,'START LİSTE'!$B$6:$F$1253,4,0)),"",VLOOKUP(B29,'START LİSTE'!$B$6:$F$1253,4,0))</f>
      </c>
      <c r="F29" s="37">
        <f>IF(ISERROR(VLOOKUP($B29,'START LİSTE'!$B$6:$F$1253,5,0)),"",VLOOKUP($B29,'START LİSTE'!$B$6:$F$1253,5,0))</f>
      </c>
      <c r="G29" s="103"/>
      <c r="H29" s="135">
        <f t="shared" si="1"/>
      </c>
    </row>
    <row r="30" spans="1:8" ht="17.25" customHeight="1">
      <c r="A30" s="34">
        <f t="shared" si="0"/>
      </c>
      <c r="B30" s="102"/>
      <c r="C30" s="35">
        <f>IF(ISERROR(VLOOKUP(B30,'START LİSTE'!$B$6:$F$1253,2,0)),"",VLOOKUP(B30,'START LİSTE'!$B$6:$F$1253,2,0))</f>
      </c>
      <c r="D30" s="35">
        <f>IF(ISERROR(VLOOKUP(B30,'START LİSTE'!$B$6:$F$1253,3,0)),"",VLOOKUP(B30,'START LİSTE'!$B$6:$F$1253,3,0))</f>
      </c>
      <c r="E30" s="36">
        <f>IF(ISERROR(VLOOKUP(B30,'START LİSTE'!$B$6:$F$1253,4,0)),"",VLOOKUP(B30,'START LİSTE'!$B$6:$F$1253,4,0))</f>
      </c>
      <c r="F30" s="37">
        <f>IF(ISERROR(VLOOKUP($B30,'START LİSTE'!$B$6:$F$1253,5,0)),"",VLOOKUP($B30,'START LİSTE'!$B$6:$F$1253,5,0))</f>
      </c>
      <c r="G30" s="103"/>
      <c r="H30" s="135">
        <f t="shared" si="1"/>
      </c>
    </row>
    <row r="31" spans="1:8" ht="17.25" customHeight="1">
      <c r="A31" s="34">
        <f t="shared" si="0"/>
      </c>
      <c r="B31" s="102"/>
      <c r="C31" s="35">
        <f>IF(ISERROR(VLOOKUP(B31,'START LİSTE'!$B$6:$F$1253,2,0)),"",VLOOKUP(B31,'START LİSTE'!$B$6:$F$1253,2,0))</f>
      </c>
      <c r="D31" s="35">
        <f>IF(ISERROR(VLOOKUP(B31,'START LİSTE'!$B$6:$F$1253,3,0)),"",VLOOKUP(B31,'START LİSTE'!$B$6:$F$1253,3,0))</f>
      </c>
      <c r="E31" s="36">
        <f>IF(ISERROR(VLOOKUP(B31,'START LİSTE'!$B$6:$F$1253,4,0)),"",VLOOKUP(B31,'START LİSTE'!$B$6:$F$1253,4,0))</f>
      </c>
      <c r="F31" s="37">
        <f>IF(ISERROR(VLOOKUP($B31,'START LİSTE'!$B$6:$F$1253,5,0)),"",VLOOKUP($B31,'START LİSTE'!$B$6:$F$1253,5,0))</f>
      </c>
      <c r="G31" s="103"/>
      <c r="H31" s="135">
        <f t="shared" si="1"/>
      </c>
    </row>
    <row r="32" spans="1:8" ht="17.25" customHeight="1">
      <c r="A32" s="34">
        <f t="shared" si="0"/>
      </c>
      <c r="B32" s="102"/>
      <c r="C32" s="35">
        <f>IF(ISERROR(VLOOKUP(B32,'START LİSTE'!$B$6:$F$1253,2,0)),"",VLOOKUP(B32,'START LİSTE'!$B$6:$F$1253,2,0))</f>
      </c>
      <c r="D32" s="35">
        <f>IF(ISERROR(VLOOKUP(B32,'START LİSTE'!$B$6:$F$1253,3,0)),"",VLOOKUP(B32,'START LİSTE'!$B$6:$F$1253,3,0))</f>
      </c>
      <c r="E32" s="36">
        <f>IF(ISERROR(VLOOKUP(B32,'START LİSTE'!$B$6:$F$1253,4,0)),"",VLOOKUP(B32,'START LİSTE'!$B$6:$F$1253,4,0))</f>
      </c>
      <c r="F32" s="37">
        <f>IF(ISERROR(VLOOKUP($B32,'START LİSTE'!$B$6:$F$1253,5,0)),"",VLOOKUP($B32,'START LİSTE'!$B$6:$F$1253,5,0))</f>
      </c>
      <c r="G32" s="103"/>
      <c r="H32" s="135">
        <f t="shared" si="1"/>
      </c>
    </row>
    <row r="33" spans="1:8" ht="17.25" customHeight="1">
      <c r="A33" s="34">
        <f t="shared" si="0"/>
      </c>
      <c r="B33" s="102"/>
      <c r="C33" s="35">
        <f>IF(ISERROR(VLOOKUP(B33,'START LİSTE'!$B$6:$F$1253,2,0)),"",VLOOKUP(B33,'START LİSTE'!$B$6:$F$1253,2,0))</f>
      </c>
      <c r="D33" s="35">
        <f>IF(ISERROR(VLOOKUP(B33,'START LİSTE'!$B$6:$F$1253,3,0)),"",VLOOKUP(B33,'START LİSTE'!$B$6:$F$1253,3,0))</f>
      </c>
      <c r="E33" s="36">
        <f>IF(ISERROR(VLOOKUP(B33,'START LİSTE'!$B$6:$F$1253,4,0)),"",VLOOKUP(B33,'START LİSTE'!$B$6:$F$1253,4,0))</f>
      </c>
      <c r="F33" s="37">
        <f>IF(ISERROR(VLOOKUP($B33,'START LİSTE'!$B$6:$F$1253,5,0)),"",VLOOKUP($B33,'START LİSTE'!$B$6:$F$1253,5,0))</f>
      </c>
      <c r="G33" s="103"/>
      <c r="H33" s="135">
        <f t="shared" si="1"/>
      </c>
    </row>
    <row r="34" spans="1:8" ht="17.25" customHeight="1">
      <c r="A34" s="34">
        <f t="shared" si="0"/>
      </c>
      <c r="B34" s="102"/>
      <c r="C34" s="35">
        <f>IF(ISERROR(VLOOKUP(B34,'START LİSTE'!$B$6:$F$1253,2,0)),"",VLOOKUP(B34,'START LİSTE'!$B$6:$F$1253,2,0))</f>
      </c>
      <c r="D34" s="35">
        <f>IF(ISERROR(VLOOKUP(B34,'START LİSTE'!$B$6:$F$1253,3,0)),"",VLOOKUP(B34,'START LİSTE'!$B$6:$F$1253,3,0))</f>
      </c>
      <c r="E34" s="36">
        <f>IF(ISERROR(VLOOKUP(B34,'START LİSTE'!$B$6:$F$1253,4,0)),"",VLOOKUP(B34,'START LİSTE'!$B$6:$F$1253,4,0))</f>
      </c>
      <c r="F34" s="37">
        <f>IF(ISERROR(VLOOKUP($B34,'START LİSTE'!$B$6:$F$1253,5,0)),"",VLOOKUP($B34,'START LİSTE'!$B$6:$F$1253,5,0))</f>
      </c>
      <c r="G34" s="103"/>
      <c r="H34" s="135">
        <f t="shared" si="1"/>
      </c>
    </row>
    <row r="35" spans="1:8" ht="17.25" customHeight="1">
      <c r="A35" s="34">
        <f t="shared" si="0"/>
      </c>
      <c r="B35" s="102"/>
      <c r="C35" s="35">
        <f>IF(ISERROR(VLOOKUP(B35,'START LİSTE'!$B$6:$F$1253,2,0)),"",VLOOKUP(B35,'START LİSTE'!$B$6:$F$1253,2,0))</f>
      </c>
      <c r="D35" s="35">
        <f>IF(ISERROR(VLOOKUP(B35,'START LİSTE'!$B$6:$F$1253,3,0)),"",VLOOKUP(B35,'START LİSTE'!$B$6:$F$1253,3,0))</f>
      </c>
      <c r="E35" s="36">
        <f>IF(ISERROR(VLOOKUP(B35,'START LİSTE'!$B$6:$F$1253,4,0)),"",VLOOKUP(B35,'START LİSTE'!$B$6:$F$1253,4,0))</f>
      </c>
      <c r="F35" s="37">
        <f>IF(ISERROR(VLOOKUP($B35,'START LİSTE'!$B$6:$F$1253,5,0)),"",VLOOKUP($B35,'START LİSTE'!$B$6:$F$1253,5,0))</f>
      </c>
      <c r="G35" s="103"/>
      <c r="H35" s="135">
        <f t="shared" si="1"/>
      </c>
    </row>
    <row r="36" spans="1:8" ht="17.25" customHeight="1">
      <c r="A36" s="34">
        <f t="shared" si="0"/>
      </c>
      <c r="B36" s="102"/>
      <c r="C36" s="35">
        <f>IF(ISERROR(VLOOKUP(B36,'START LİSTE'!$B$6:$F$1253,2,0)),"",VLOOKUP(B36,'START LİSTE'!$B$6:$F$1253,2,0))</f>
      </c>
      <c r="D36" s="35">
        <f>IF(ISERROR(VLOOKUP(B36,'START LİSTE'!$B$6:$F$1253,3,0)),"",VLOOKUP(B36,'START LİSTE'!$B$6:$F$1253,3,0))</f>
      </c>
      <c r="E36" s="36">
        <f>IF(ISERROR(VLOOKUP(B36,'START LİSTE'!$B$6:$F$1253,4,0)),"",VLOOKUP(B36,'START LİSTE'!$B$6:$F$1253,4,0))</f>
      </c>
      <c r="F36" s="37">
        <f>IF(ISERROR(VLOOKUP($B36,'START LİSTE'!$B$6:$F$1253,5,0)),"",VLOOKUP($B36,'START LİSTE'!$B$6:$F$1253,5,0))</f>
      </c>
      <c r="G36" s="103"/>
      <c r="H36" s="135">
        <f t="shared" si="1"/>
      </c>
    </row>
    <row r="37" spans="1:8" ht="17.25" customHeight="1">
      <c r="A37" s="34">
        <f t="shared" si="0"/>
      </c>
      <c r="B37" s="102"/>
      <c r="C37" s="35">
        <f>IF(ISERROR(VLOOKUP(B37,'START LİSTE'!$B$6:$F$1253,2,0)),"",VLOOKUP(B37,'START LİSTE'!$B$6:$F$1253,2,0))</f>
      </c>
      <c r="D37" s="35">
        <f>IF(ISERROR(VLOOKUP(B37,'START LİSTE'!$B$6:$F$1253,3,0)),"",VLOOKUP(B37,'START LİSTE'!$B$6:$F$1253,3,0))</f>
      </c>
      <c r="E37" s="36">
        <f>IF(ISERROR(VLOOKUP(B37,'START LİSTE'!$B$6:$F$1253,4,0)),"",VLOOKUP(B37,'START LİSTE'!$B$6:$F$1253,4,0))</f>
      </c>
      <c r="F37" s="37">
        <f>IF(ISERROR(VLOOKUP($B37,'START LİSTE'!$B$6:$F$1253,5,0)),"",VLOOKUP($B37,'START LİSTE'!$B$6:$F$1253,5,0))</f>
      </c>
      <c r="G37" s="103"/>
      <c r="H37" s="135">
        <f t="shared" si="1"/>
      </c>
    </row>
    <row r="38" spans="1:8" ht="17.25" customHeight="1">
      <c r="A38" s="34">
        <f t="shared" si="0"/>
      </c>
      <c r="B38" s="102"/>
      <c r="C38" s="35">
        <f>IF(ISERROR(VLOOKUP(B38,'START LİSTE'!$B$6:$F$1253,2,0)),"",VLOOKUP(B38,'START LİSTE'!$B$6:$F$1253,2,0))</f>
      </c>
      <c r="D38" s="35">
        <f>IF(ISERROR(VLOOKUP(B38,'START LİSTE'!$B$6:$F$1253,3,0)),"",VLOOKUP(B38,'START LİSTE'!$B$6:$F$1253,3,0))</f>
      </c>
      <c r="E38" s="36">
        <f>IF(ISERROR(VLOOKUP(B38,'START LİSTE'!$B$6:$F$1253,4,0)),"",VLOOKUP(B38,'START LİSTE'!$B$6:$F$1253,4,0))</f>
      </c>
      <c r="F38" s="37">
        <f>IF(ISERROR(VLOOKUP($B38,'START LİSTE'!$B$6:$F$1253,5,0)),"",VLOOKUP($B38,'START LİSTE'!$B$6:$F$1253,5,0))</f>
      </c>
      <c r="G38" s="103"/>
      <c r="H38" s="135">
        <f t="shared" si="1"/>
      </c>
    </row>
    <row r="39" spans="1:8" ht="17.25" customHeight="1">
      <c r="A39" s="34">
        <f t="shared" si="0"/>
      </c>
      <c r="B39" s="102"/>
      <c r="C39" s="35">
        <f>IF(ISERROR(VLOOKUP(B39,'START LİSTE'!$B$6:$F$1253,2,0)),"",VLOOKUP(B39,'START LİSTE'!$B$6:$F$1253,2,0))</f>
      </c>
      <c r="D39" s="35">
        <f>IF(ISERROR(VLOOKUP(B39,'START LİSTE'!$B$6:$F$1253,3,0)),"",VLOOKUP(B39,'START LİSTE'!$B$6:$F$1253,3,0))</f>
      </c>
      <c r="E39" s="36">
        <f>IF(ISERROR(VLOOKUP(B39,'START LİSTE'!$B$6:$F$1253,4,0)),"",VLOOKUP(B39,'START LİSTE'!$B$6:$F$1253,4,0))</f>
      </c>
      <c r="F39" s="37">
        <f>IF(ISERROR(VLOOKUP($B39,'START LİSTE'!$B$6:$F$1253,5,0)),"",VLOOKUP($B39,'START LİSTE'!$B$6:$F$1253,5,0))</f>
      </c>
      <c r="G39" s="103"/>
      <c r="H39" s="135">
        <f t="shared" si="1"/>
      </c>
    </row>
    <row r="40" spans="1:8" ht="17.25" customHeight="1">
      <c r="A40" s="34">
        <f t="shared" si="0"/>
      </c>
      <c r="B40" s="102"/>
      <c r="C40" s="35">
        <f>IF(ISERROR(VLOOKUP(B40,'START LİSTE'!$B$6:$F$1253,2,0)),"",VLOOKUP(B40,'START LİSTE'!$B$6:$F$1253,2,0))</f>
      </c>
      <c r="D40" s="35">
        <f>IF(ISERROR(VLOOKUP(B40,'START LİSTE'!$B$6:$F$1253,3,0)),"",VLOOKUP(B40,'START LİSTE'!$B$6:$F$1253,3,0))</f>
      </c>
      <c r="E40" s="36">
        <f>IF(ISERROR(VLOOKUP(B40,'START LİSTE'!$B$6:$F$1253,4,0)),"",VLOOKUP(B40,'START LİSTE'!$B$6:$F$1253,4,0))</f>
      </c>
      <c r="F40" s="37">
        <f>IF(ISERROR(VLOOKUP($B40,'START LİSTE'!$B$6:$F$1253,5,0)),"",VLOOKUP($B40,'START LİSTE'!$B$6:$F$1253,5,0))</f>
      </c>
      <c r="G40" s="103"/>
      <c r="H40" s="135">
        <f t="shared" si="1"/>
      </c>
    </row>
    <row r="41" spans="1:8" ht="17.25" customHeight="1">
      <c r="A41" s="34">
        <f t="shared" si="0"/>
      </c>
      <c r="B41" s="102"/>
      <c r="C41" s="35">
        <f>IF(ISERROR(VLOOKUP(B41,'START LİSTE'!$B$6:$F$1253,2,0)),"",VLOOKUP(B41,'START LİSTE'!$B$6:$F$1253,2,0))</f>
      </c>
      <c r="D41" s="35">
        <f>IF(ISERROR(VLOOKUP(B41,'START LİSTE'!$B$6:$F$1253,3,0)),"",VLOOKUP(B41,'START LİSTE'!$B$6:$F$1253,3,0))</f>
      </c>
      <c r="E41" s="36">
        <f>IF(ISERROR(VLOOKUP(B41,'START LİSTE'!$B$6:$F$1253,4,0)),"",VLOOKUP(B41,'START LİSTE'!$B$6:$F$1253,4,0))</f>
      </c>
      <c r="F41" s="37">
        <f>IF(ISERROR(VLOOKUP($B41,'START LİSTE'!$B$6:$F$1253,5,0)),"",VLOOKUP($B41,'START LİSTE'!$B$6:$F$1253,5,0))</f>
      </c>
      <c r="G41" s="103"/>
      <c r="H41" s="135">
        <f t="shared" si="1"/>
      </c>
    </row>
    <row r="42" spans="1:8" ht="17.25" customHeight="1">
      <c r="A42" s="34">
        <f t="shared" si="0"/>
      </c>
      <c r="B42" s="102"/>
      <c r="C42" s="35">
        <f>IF(ISERROR(VLOOKUP(B42,'START LİSTE'!$B$6:$F$1253,2,0)),"",VLOOKUP(B42,'START LİSTE'!$B$6:$F$1253,2,0))</f>
      </c>
      <c r="D42" s="35">
        <f>IF(ISERROR(VLOOKUP(B42,'START LİSTE'!$B$6:$F$1253,3,0)),"",VLOOKUP(B42,'START LİSTE'!$B$6:$F$1253,3,0))</f>
      </c>
      <c r="E42" s="36">
        <f>IF(ISERROR(VLOOKUP(B42,'START LİSTE'!$B$6:$F$1253,4,0)),"",VLOOKUP(B42,'START LİSTE'!$B$6:$F$1253,4,0))</f>
      </c>
      <c r="F42" s="37">
        <f>IF(ISERROR(VLOOKUP($B42,'START LİSTE'!$B$6:$F$1253,5,0)),"",VLOOKUP($B42,'START LİSTE'!$B$6:$F$1253,5,0))</f>
      </c>
      <c r="G42" s="103"/>
      <c r="H42" s="135">
        <f t="shared" si="1"/>
      </c>
    </row>
    <row r="43" spans="1:8" ht="17.25" customHeight="1">
      <c r="A43" s="34">
        <f t="shared" si="0"/>
      </c>
      <c r="B43" s="102"/>
      <c r="C43" s="35">
        <f>IF(ISERROR(VLOOKUP(B43,'START LİSTE'!$B$6:$F$1253,2,0)),"",VLOOKUP(B43,'START LİSTE'!$B$6:$F$1253,2,0))</f>
      </c>
      <c r="D43" s="35">
        <f>IF(ISERROR(VLOOKUP(B43,'START LİSTE'!$B$6:$F$1253,3,0)),"",VLOOKUP(B43,'START LİSTE'!$B$6:$F$1253,3,0))</f>
      </c>
      <c r="E43" s="36">
        <f>IF(ISERROR(VLOOKUP(B43,'START LİSTE'!$B$6:$F$1253,4,0)),"",VLOOKUP(B43,'START LİSTE'!$B$6:$F$1253,4,0))</f>
      </c>
      <c r="F43" s="37">
        <f>IF(ISERROR(VLOOKUP($B43,'START LİSTE'!$B$6:$F$1253,5,0)),"",VLOOKUP($B43,'START LİSTE'!$B$6:$F$1253,5,0))</f>
      </c>
      <c r="G43" s="103"/>
      <c r="H43" s="135">
        <f t="shared" si="1"/>
      </c>
    </row>
    <row r="44" spans="1:8" ht="17.25" customHeight="1">
      <c r="A44" s="34">
        <f t="shared" si="0"/>
      </c>
      <c r="B44" s="102"/>
      <c r="C44" s="35">
        <f>IF(ISERROR(VLOOKUP(B44,'START LİSTE'!$B$6:$F$1253,2,0)),"",VLOOKUP(B44,'START LİSTE'!$B$6:$F$1253,2,0))</f>
      </c>
      <c r="D44" s="35">
        <f>IF(ISERROR(VLOOKUP(B44,'START LİSTE'!$B$6:$F$1253,3,0)),"",VLOOKUP(B44,'START LİSTE'!$B$6:$F$1253,3,0))</f>
      </c>
      <c r="E44" s="36">
        <f>IF(ISERROR(VLOOKUP(B44,'START LİSTE'!$B$6:$F$1253,4,0)),"",VLOOKUP(B44,'START LİSTE'!$B$6:$F$1253,4,0))</f>
      </c>
      <c r="F44" s="37">
        <f>IF(ISERROR(VLOOKUP($B44,'START LİSTE'!$B$6:$F$1253,5,0)),"",VLOOKUP($B44,'START LİSTE'!$B$6:$F$1253,5,0))</f>
      </c>
      <c r="G44" s="103"/>
      <c r="H44" s="135">
        <f t="shared" si="1"/>
      </c>
    </row>
    <row r="45" spans="1:8" ht="17.25" customHeight="1">
      <c r="A45" s="34">
        <f t="shared" si="0"/>
      </c>
      <c r="B45" s="102"/>
      <c r="C45" s="35">
        <f>IF(ISERROR(VLOOKUP(B45,'START LİSTE'!$B$6:$F$1253,2,0)),"",VLOOKUP(B45,'START LİSTE'!$B$6:$F$1253,2,0))</f>
      </c>
      <c r="D45" s="35">
        <f>IF(ISERROR(VLOOKUP(B45,'START LİSTE'!$B$6:$F$1253,3,0)),"",VLOOKUP(B45,'START LİSTE'!$B$6:$F$1253,3,0))</f>
      </c>
      <c r="E45" s="36">
        <f>IF(ISERROR(VLOOKUP(B45,'START LİSTE'!$B$6:$F$1253,4,0)),"",VLOOKUP(B45,'START LİSTE'!$B$6:$F$1253,4,0))</f>
      </c>
      <c r="F45" s="37">
        <f>IF(ISERROR(VLOOKUP($B45,'START LİSTE'!$B$6:$F$1253,5,0)),"",VLOOKUP($B45,'START LİSTE'!$B$6:$F$1253,5,0))</f>
      </c>
      <c r="G45" s="103"/>
      <c r="H45" s="135">
        <f t="shared" si="1"/>
      </c>
    </row>
    <row r="46" spans="1:8" ht="17.25" customHeight="1">
      <c r="A46" s="34">
        <f t="shared" si="0"/>
      </c>
      <c r="B46" s="102"/>
      <c r="C46" s="35">
        <f>IF(ISERROR(VLOOKUP(B46,'START LİSTE'!$B$6:$F$1253,2,0)),"",VLOOKUP(B46,'START LİSTE'!$B$6:$F$1253,2,0))</f>
      </c>
      <c r="D46" s="35">
        <f>IF(ISERROR(VLOOKUP(B46,'START LİSTE'!$B$6:$F$1253,3,0)),"",VLOOKUP(B46,'START LİSTE'!$B$6:$F$1253,3,0))</f>
      </c>
      <c r="E46" s="36">
        <f>IF(ISERROR(VLOOKUP(B46,'START LİSTE'!$B$6:$F$1253,4,0)),"",VLOOKUP(B46,'START LİSTE'!$B$6:$F$1253,4,0))</f>
      </c>
      <c r="F46" s="37">
        <f>IF(ISERROR(VLOOKUP($B46,'START LİSTE'!$B$6:$F$1253,5,0)),"",VLOOKUP($B46,'START LİSTE'!$B$6:$F$1253,5,0))</f>
      </c>
      <c r="G46" s="103"/>
      <c r="H46" s="135">
        <f t="shared" si="1"/>
      </c>
    </row>
    <row r="47" spans="1:8" ht="17.25" customHeight="1">
      <c r="A47" s="34">
        <f t="shared" si="0"/>
      </c>
      <c r="B47" s="102"/>
      <c r="C47" s="35">
        <f>IF(ISERROR(VLOOKUP(B47,'START LİSTE'!$B$6:$F$1253,2,0)),"",VLOOKUP(B47,'START LİSTE'!$B$6:$F$1253,2,0))</f>
      </c>
      <c r="D47" s="35">
        <f>IF(ISERROR(VLOOKUP(B47,'START LİSTE'!$B$6:$F$1253,3,0)),"",VLOOKUP(B47,'START LİSTE'!$B$6:$F$1253,3,0))</f>
      </c>
      <c r="E47" s="36">
        <f>IF(ISERROR(VLOOKUP(B47,'START LİSTE'!$B$6:$F$1253,4,0)),"",VLOOKUP(B47,'START LİSTE'!$B$6:$F$1253,4,0))</f>
      </c>
      <c r="F47" s="37">
        <f>IF(ISERROR(VLOOKUP($B47,'START LİSTE'!$B$6:$F$1253,5,0)),"",VLOOKUP($B47,'START LİSTE'!$B$6:$F$1253,5,0))</f>
      </c>
      <c r="G47" s="103"/>
      <c r="H47" s="135">
        <f t="shared" si="1"/>
      </c>
    </row>
    <row r="48" spans="1:8" ht="17.25" customHeight="1">
      <c r="A48" s="34">
        <f t="shared" si="0"/>
      </c>
      <c r="B48" s="102"/>
      <c r="C48" s="35">
        <f>IF(ISERROR(VLOOKUP(B48,'START LİSTE'!$B$6:$F$1253,2,0)),"",VLOOKUP(B48,'START LİSTE'!$B$6:$F$1253,2,0))</f>
      </c>
      <c r="D48" s="35">
        <f>IF(ISERROR(VLOOKUP(B48,'START LİSTE'!$B$6:$F$1253,3,0)),"",VLOOKUP(B48,'START LİSTE'!$B$6:$F$1253,3,0))</f>
      </c>
      <c r="E48" s="36">
        <f>IF(ISERROR(VLOOKUP(B48,'START LİSTE'!$B$6:$F$1253,4,0)),"",VLOOKUP(B48,'START LİSTE'!$B$6:$F$1253,4,0))</f>
      </c>
      <c r="F48" s="37">
        <f>IF(ISERROR(VLOOKUP($B48,'START LİSTE'!$B$6:$F$1253,5,0)),"",VLOOKUP($B48,'START LİSTE'!$B$6:$F$1253,5,0))</f>
      </c>
      <c r="G48" s="103"/>
      <c r="H48" s="135">
        <f t="shared" si="1"/>
      </c>
    </row>
    <row r="49" spans="1:8" ht="17.25" customHeight="1">
      <c r="A49" s="34">
        <f t="shared" si="0"/>
      </c>
      <c r="B49" s="102"/>
      <c r="C49" s="35">
        <f>IF(ISERROR(VLOOKUP(B49,'START LİSTE'!$B$6:$F$1253,2,0)),"",VLOOKUP(B49,'START LİSTE'!$B$6:$F$1253,2,0))</f>
      </c>
      <c r="D49" s="35">
        <f>IF(ISERROR(VLOOKUP(B49,'START LİSTE'!$B$6:$F$1253,3,0)),"",VLOOKUP(B49,'START LİSTE'!$B$6:$F$1253,3,0))</f>
      </c>
      <c r="E49" s="36">
        <f>IF(ISERROR(VLOOKUP(B49,'START LİSTE'!$B$6:$F$1253,4,0)),"",VLOOKUP(B49,'START LİSTE'!$B$6:$F$1253,4,0))</f>
      </c>
      <c r="F49" s="37">
        <f>IF(ISERROR(VLOOKUP($B49,'START LİSTE'!$B$6:$F$1253,5,0)),"",VLOOKUP($B49,'START LİSTE'!$B$6:$F$1253,5,0))</f>
      </c>
      <c r="G49" s="103"/>
      <c r="H49" s="135">
        <f t="shared" si="1"/>
      </c>
    </row>
    <row r="50" spans="1:8" ht="17.25" customHeight="1">
      <c r="A50" s="34">
        <f t="shared" si="0"/>
      </c>
      <c r="B50" s="102"/>
      <c r="C50" s="35">
        <f>IF(ISERROR(VLOOKUP(B50,'START LİSTE'!$B$6:$F$1253,2,0)),"",VLOOKUP(B50,'START LİSTE'!$B$6:$F$1253,2,0))</f>
      </c>
      <c r="D50" s="35">
        <f>IF(ISERROR(VLOOKUP(B50,'START LİSTE'!$B$6:$F$1253,3,0)),"",VLOOKUP(B50,'START LİSTE'!$B$6:$F$1253,3,0))</f>
      </c>
      <c r="E50" s="36">
        <f>IF(ISERROR(VLOOKUP(B50,'START LİSTE'!$B$6:$F$1253,4,0)),"",VLOOKUP(B50,'START LİSTE'!$B$6:$F$1253,4,0))</f>
      </c>
      <c r="F50" s="37">
        <f>IF(ISERROR(VLOOKUP($B50,'START LİSTE'!$B$6:$F$1253,5,0)),"",VLOOKUP($B50,'START LİSTE'!$B$6:$F$1253,5,0))</f>
      </c>
      <c r="G50" s="103"/>
      <c r="H50" s="135">
        <f t="shared" si="1"/>
      </c>
    </row>
    <row r="51" spans="1:8" ht="17.25" customHeight="1">
      <c r="A51" s="34">
        <f t="shared" si="0"/>
      </c>
      <c r="B51" s="102"/>
      <c r="C51" s="35">
        <f>IF(ISERROR(VLOOKUP(B51,'START LİSTE'!$B$6:$F$1253,2,0)),"",VLOOKUP(B51,'START LİSTE'!$B$6:$F$1253,2,0))</f>
      </c>
      <c r="D51" s="35">
        <f>IF(ISERROR(VLOOKUP(B51,'START LİSTE'!$B$6:$F$1253,3,0)),"",VLOOKUP(B51,'START LİSTE'!$B$6:$F$1253,3,0))</f>
      </c>
      <c r="E51" s="36">
        <f>IF(ISERROR(VLOOKUP(B51,'START LİSTE'!$B$6:$F$1253,4,0)),"",VLOOKUP(B51,'START LİSTE'!$B$6:$F$1253,4,0))</f>
      </c>
      <c r="F51" s="37">
        <f>IF(ISERROR(VLOOKUP($B51,'START LİSTE'!$B$6:$F$1253,5,0)),"",VLOOKUP($B51,'START LİSTE'!$B$6:$F$1253,5,0))</f>
      </c>
      <c r="G51" s="103"/>
      <c r="H51" s="135">
        <f t="shared" si="1"/>
      </c>
    </row>
    <row r="52" spans="1:8" ht="17.25" customHeight="1">
      <c r="A52" s="34">
        <f t="shared" si="0"/>
      </c>
      <c r="B52" s="102"/>
      <c r="C52" s="35">
        <f>IF(ISERROR(VLOOKUP(B52,'START LİSTE'!$B$6:$F$1253,2,0)),"",VLOOKUP(B52,'START LİSTE'!$B$6:$F$1253,2,0))</f>
      </c>
      <c r="D52" s="35">
        <f>IF(ISERROR(VLOOKUP(B52,'START LİSTE'!$B$6:$F$1253,3,0)),"",VLOOKUP(B52,'START LİSTE'!$B$6:$F$1253,3,0))</f>
      </c>
      <c r="E52" s="36">
        <f>IF(ISERROR(VLOOKUP(B52,'START LİSTE'!$B$6:$F$1253,4,0)),"",VLOOKUP(B52,'START LİSTE'!$B$6:$F$1253,4,0))</f>
      </c>
      <c r="F52" s="37">
        <f>IF(ISERROR(VLOOKUP($B52,'START LİSTE'!$B$6:$F$1253,5,0)),"",VLOOKUP($B52,'START LİSTE'!$B$6:$F$1253,5,0))</f>
      </c>
      <c r="G52" s="103"/>
      <c r="H52" s="135">
        <f t="shared" si="1"/>
      </c>
    </row>
    <row r="53" spans="1:8" ht="17.25" customHeight="1">
      <c r="A53" s="34">
        <f t="shared" si="0"/>
      </c>
      <c r="B53" s="102"/>
      <c r="C53" s="35">
        <f>IF(ISERROR(VLOOKUP(B53,'START LİSTE'!$B$6:$F$1253,2,0)),"",VLOOKUP(B53,'START LİSTE'!$B$6:$F$1253,2,0))</f>
      </c>
      <c r="D53" s="35">
        <f>IF(ISERROR(VLOOKUP(B53,'START LİSTE'!$B$6:$F$1253,3,0)),"",VLOOKUP(B53,'START LİSTE'!$B$6:$F$1253,3,0))</f>
      </c>
      <c r="E53" s="36">
        <f>IF(ISERROR(VLOOKUP(B53,'START LİSTE'!$B$6:$F$1253,4,0)),"",VLOOKUP(B53,'START LİSTE'!$B$6:$F$1253,4,0))</f>
      </c>
      <c r="F53" s="37">
        <f>IF(ISERROR(VLOOKUP($B53,'START LİSTE'!$B$6:$F$1253,5,0)),"",VLOOKUP($B53,'START LİSTE'!$B$6:$F$1253,5,0))</f>
      </c>
      <c r="G53" s="103"/>
      <c r="H53" s="135">
        <f t="shared" si="1"/>
      </c>
    </row>
    <row r="54" spans="1:8" ht="17.25" customHeight="1">
      <c r="A54" s="34">
        <f t="shared" si="0"/>
      </c>
      <c r="B54" s="102"/>
      <c r="C54" s="35">
        <f>IF(ISERROR(VLOOKUP(B54,'START LİSTE'!$B$6:$F$1253,2,0)),"",VLOOKUP(B54,'START LİSTE'!$B$6:$F$1253,2,0))</f>
      </c>
      <c r="D54" s="35">
        <f>IF(ISERROR(VLOOKUP(B54,'START LİSTE'!$B$6:$F$1253,3,0)),"",VLOOKUP(B54,'START LİSTE'!$B$6:$F$1253,3,0))</f>
      </c>
      <c r="E54" s="36">
        <f>IF(ISERROR(VLOOKUP(B54,'START LİSTE'!$B$6:$F$1253,4,0)),"",VLOOKUP(B54,'START LİSTE'!$B$6:$F$1253,4,0))</f>
      </c>
      <c r="F54" s="37">
        <f>IF(ISERROR(VLOOKUP($B54,'START LİSTE'!$B$6:$F$1253,5,0)),"",VLOOKUP($B54,'START LİSTE'!$B$6:$F$1253,5,0))</f>
      </c>
      <c r="G54" s="103"/>
      <c r="H54" s="135">
        <f t="shared" si="1"/>
      </c>
    </row>
    <row r="55" spans="1:8" ht="17.25" customHeight="1">
      <c r="A55" s="34">
        <f t="shared" si="0"/>
      </c>
      <c r="B55" s="102"/>
      <c r="C55" s="35">
        <f>IF(ISERROR(VLOOKUP(B55,'START LİSTE'!$B$6:$F$1253,2,0)),"",VLOOKUP(B55,'START LİSTE'!$B$6:$F$1253,2,0))</f>
      </c>
      <c r="D55" s="35">
        <f>IF(ISERROR(VLOOKUP(B55,'START LİSTE'!$B$6:$F$1253,3,0)),"",VLOOKUP(B55,'START LİSTE'!$B$6:$F$1253,3,0))</f>
      </c>
      <c r="E55" s="36">
        <f>IF(ISERROR(VLOOKUP(B55,'START LİSTE'!$B$6:$F$1253,4,0)),"",VLOOKUP(B55,'START LİSTE'!$B$6:$F$1253,4,0))</f>
      </c>
      <c r="F55" s="37">
        <f>IF(ISERROR(VLOOKUP($B55,'START LİSTE'!$B$6:$F$1253,5,0)),"",VLOOKUP($B55,'START LİSTE'!$B$6:$F$1253,5,0))</f>
      </c>
      <c r="G55" s="103"/>
      <c r="H55" s="135">
        <f t="shared" si="1"/>
      </c>
    </row>
    <row r="56" spans="1:8" ht="17.25" customHeight="1">
      <c r="A56" s="34">
        <f t="shared" si="0"/>
      </c>
      <c r="B56" s="102"/>
      <c r="C56" s="35">
        <f>IF(ISERROR(VLOOKUP(B56,'START LİSTE'!$B$6:$F$1253,2,0)),"",VLOOKUP(B56,'START LİSTE'!$B$6:$F$1253,2,0))</f>
      </c>
      <c r="D56" s="35">
        <f>IF(ISERROR(VLOOKUP(B56,'START LİSTE'!$B$6:$F$1253,3,0)),"",VLOOKUP(B56,'START LİSTE'!$B$6:$F$1253,3,0))</f>
      </c>
      <c r="E56" s="36">
        <f>IF(ISERROR(VLOOKUP(B56,'START LİSTE'!$B$6:$F$1253,4,0)),"",VLOOKUP(B56,'START LİSTE'!$B$6:$F$1253,4,0))</f>
      </c>
      <c r="F56" s="37">
        <f>IF(ISERROR(VLOOKUP($B56,'START LİSTE'!$B$6:$F$1253,5,0)),"",VLOOKUP($B56,'START LİSTE'!$B$6:$F$1253,5,0))</f>
      </c>
      <c r="G56" s="103"/>
      <c r="H56" s="135">
        <f t="shared" si="1"/>
      </c>
    </row>
    <row r="57" spans="1:8" ht="17.25" customHeight="1">
      <c r="A57" s="34">
        <f t="shared" si="0"/>
      </c>
      <c r="B57" s="102"/>
      <c r="C57" s="35">
        <f>IF(ISERROR(VLOOKUP(B57,'START LİSTE'!$B$6:$F$1253,2,0)),"",VLOOKUP(B57,'START LİSTE'!$B$6:$F$1253,2,0))</f>
      </c>
      <c r="D57" s="35">
        <f>IF(ISERROR(VLOOKUP(B57,'START LİSTE'!$B$6:$F$1253,3,0)),"",VLOOKUP(B57,'START LİSTE'!$B$6:$F$1253,3,0))</f>
      </c>
      <c r="E57" s="36">
        <f>IF(ISERROR(VLOOKUP(B57,'START LİSTE'!$B$6:$F$1253,4,0)),"",VLOOKUP(B57,'START LİSTE'!$B$6:$F$1253,4,0))</f>
      </c>
      <c r="F57" s="37">
        <f>IF(ISERROR(VLOOKUP($B57,'START LİSTE'!$B$6:$F$1253,5,0)),"",VLOOKUP($B57,'START LİSTE'!$B$6:$F$1253,5,0))</f>
      </c>
      <c r="G57" s="103"/>
      <c r="H57" s="135">
        <f t="shared" si="1"/>
      </c>
    </row>
    <row r="58" spans="1:8" ht="17.25" customHeight="1">
      <c r="A58" s="34">
        <f t="shared" si="0"/>
      </c>
      <c r="B58" s="102"/>
      <c r="C58" s="35">
        <f>IF(ISERROR(VLOOKUP(B58,'START LİSTE'!$B$6:$F$1253,2,0)),"",VLOOKUP(B58,'START LİSTE'!$B$6:$F$1253,2,0))</f>
      </c>
      <c r="D58" s="35">
        <f>IF(ISERROR(VLOOKUP(B58,'START LİSTE'!$B$6:$F$1253,3,0)),"",VLOOKUP(B58,'START LİSTE'!$B$6:$F$1253,3,0))</f>
      </c>
      <c r="E58" s="36">
        <f>IF(ISERROR(VLOOKUP(B58,'START LİSTE'!$B$6:$F$1253,4,0)),"",VLOOKUP(B58,'START LİSTE'!$B$6:$F$1253,4,0))</f>
      </c>
      <c r="F58" s="37">
        <f>IF(ISERROR(VLOOKUP($B58,'START LİSTE'!$B$6:$F$1253,5,0)),"",VLOOKUP($B58,'START LİSTE'!$B$6:$F$1253,5,0))</f>
      </c>
      <c r="G58" s="103"/>
      <c r="H58" s="135">
        <f t="shared" si="1"/>
      </c>
    </row>
    <row r="59" spans="1:8" ht="17.25" customHeight="1">
      <c r="A59" s="34">
        <f t="shared" si="0"/>
      </c>
      <c r="B59" s="102"/>
      <c r="C59" s="35">
        <f>IF(ISERROR(VLOOKUP(B59,'START LİSTE'!$B$6:$F$1253,2,0)),"",VLOOKUP(B59,'START LİSTE'!$B$6:$F$1253,2,0))</f>
      </c>
      <c r="D59" s="35">
        <f>IF(ISERROR(VLOOKUP(B59,'START LİSTE'!$B$6:$F$1253,3,0)),"",VLOOKUP(B59,'START LİSTE'!$B$6:$F$1253,3,0))</f>
      </c>
      <c r="E59" s="36">
        <f>IF(ISERROR(VLOOKUP(B59,'START LİSTE'!$B$6:$F$1253,4,0)),"",VLOOKUP(B59,'START LİSTE'!$B$6:$F$1253,4,0))</f>
      </c>
      <c r="F59" s="37">
        <f>IF(ISERROR(VLOOKUP($B59,'START LİSTE'!$B$6:$F$1253,5,0)),"",VLOOKUP($B59,'START LİSTE'!$B$6:$F$1253,5,0))</f>
      </c>
      <c r="G59" s="103"/>
      <c r="H59" s="135">
        <f t="shared" si="1"/>
      </c>
    </row>
    <row r="60" spans="1:8" ht="17.25" customHeight="1">
      <c r="A60" s="34">
        <f t="shared" si="0"/>
      </c>
      <c r="B60" s="102"/>
      <c r="C60" s="35">
        <f>IF(ISERROR(VLOOKUP(B60,'START LİSTE'!$B$6:$F$1253,2,0)),"",VLOOKUP(B60,'START LİSTE'!$B$6:$F$1253,2,0))</f>
      </c>
      <c r="D60" s="35">
        <f>IF(ISERROR(VLOOKUP(B60,'START LİSTE'!$B$6:$F$1253,3,0)),"",VLOOKUP(B60,'START LİSTE'!$B$6:$F$1253,3,0))</f>
      </c>
      <c r="E60" s="36">
        <f>IF(ISERROR(VLOOKUP(B60,'START LİSTE'!$B$6:$F$1253,4,0)),"",VLOOKUP(B60,'START LİSTE'!$B$6:$F$1253,4,0))</f>
      </c>
      <c r="F60" s="37">
        <f>IF(ISERROR(VLOOKUP($B60,'START LİSTE'!$B$6:$F$1253,5,0)),"",VLOOKUP($B60,'START LİSTE'!$B$6:$F$1253,5,0))</f>
      </c>
      <c r="G60" s="103"/>
      <c r="H60" s="135">
        <f t="shared" si="1"/>
      </c>
    </row>
    <row r="61" spans="1:8" ht="17.25" customHeight="1">
      <c r="A61" s="34">
        <f t="shared" si="0"/>
      </c>
      <c r="B61" s="102"/>
      <c r="C61" s="35">
        <f>IF(ISERROR(VLOOKUP(B61,'START LİSTE'!$B$6:$F$1253,2,0)),"",VLOOKUP(B61,'START LİSTE'!$B$6:$F$1253,2,0))</f>
      </c>
      <c r="D61" s="35">
        <f>IF(ISERROR(VLOOKUP(B61,'START LİSTE'!$B$6:$F$1253,3,0)),"",VLOOKUP(B61,'START LİSTE'!$B$6:$F$1253,3,0))</f>
      </c>
      <c r="E61" s="36">
        <f>IF(ISERROR(VLOOKUP(B61,'START LİSTE'!$B$6:$F$1253,4,0)),"",VLOOKUP(B61,'START LİSTE'!$B$6:$F$1253,4,0))</f>
      </c>
      <c r="F61" s="37">
        <f>IF(ISERROR(VLOOKUP($B61,'START LİSTE'!$B$6:$F$1253,5,0)),"",VLOOKUP($B61,'START LİSTE'!$B$6:$F$1253,5,0))</f>
      </c>
      <c r="G61" s="103"/>
      <c r="H61" s="135">
        <f t="shared" si="1"/>
      </c>
    </row>
    <row r="62" spans="1:8" ht="17.25" customHeight="1">
      <c r="A62" s="34">
        <f t="shared" si="0"/>
      </c>
      <c r="B62" s="102"/>
      <c r="C62" s="35">
        <f>IF(ISERROR(VLOOKUP(B62,'START LİSTE'!$B$6:$F$1253,2,0)),"",VLOOKUP(B62,'START LİSTE'!$B$6:$F$1253,2,0))</f>
      </c>
      <c r="D62" s="35">
        <f>IF(ISERROR(VLOOKUP(B62,'START LİSTE'!$B$6:$F$1253,3,0)),"",VLOOKUP(B62,'START LİSTE'!$B$6:$F$1253,3,0))</f>
      </c>
      <c r="E62" s="36">
        <f>IF(ISERROR(VLOOKUP(B62,'START LİSTE'!$B$6:$F$1253,4,0)),"",VLOOKUP(B62,'START LİSTE'!$B$6:$F$1253,4,0))</f>
      </c>
      <c r="F62" s="37">
        <f>IF(ISERROR(VLOOKUP($B62,'START LİSTE'!$B$6:$F$1253,5,0)),"",VLOOKUP($B62,'START LİSTE'!$B$6:$F$1253,5,0))</f>
      </c>
      <c r="G62" s="103"/>
      <c r="H62" s="135">
        <f t="shared" si="1"/>
      </c>
    </row>
    <row r="63" spans="1:8" ht="17.25" customHeight="1">
      <c r="A63" s="34">
        <f t="shared" si="0"/>
      </c>
      <c r="B63" s="102"/>
      <c r="C63" s="35">
        <f>IF(ISERROR(VLOOKUP(B63,'START LİSTE'!$B$6:$F$1253,2,0)),"",VLOOKUP(B63,'START LİSTE'!$B$6:$F$1253,2,0))</f>
      </c>
      <c r="D63" s="35">
        <f>IF(ISERROR(VLOOKUP(B63,'START LİSTE'!$B$6:$F$1253,3,0)),"",VLOOKUP(B63,'START LİSTE'!$B$6:$F$1253,3,0))</f>
      </c>
      <c r="E63" s="36">
        <f>IF(ISERROR(VLOOKUP(B63,'START LİSTE'!$B$6:$F$1253,4,0)),"",VLOOKUP(B63,'START LİSTE'!$B$6:$F$1253,4,0))</f>
      </c>
      <c r="F63" s="37">
        <f>IF(ISERROR(VLOOKUP($B63,'START LİSTE'!$B$6:$F$1253,5,0)),"",VLOOKUP($B63,'START LİSTE'!$B$6:$F$1253,5,0))</f>
      </c>
      <c r="G63" s="103"/>
      <c r="H63" s="135">
        <f t="shared" si="1"/>
      </c>
    </row>
    <row r="64" spans="1:8" ht="17.25" customHeight="1">
      <c r="A64" s="34">
        <f t="shared" si="0"/>
      </c>
      <c r="B64" s="102"/>
      <c r="C64" s="35">
        <f>IF(ISERROR(VLOOKUP(B64,'START LİSTE'!$B$6:$F$1253,2,0)),"",VLOOKUP(B64,'START LİSTE'!$B$6:$F$1253,2,0))</f>
      </c>
      <c r="D64" s="35">
        <f>IF(ISERROR(VLOOKUP(B64,'START LİSTE'!$B$6:$F$1253,3,0)),"",VLOOKUP(B64,'START LİSTE'!$B$6:$F$1253,3,0))</f>
      </c>
      <c r="E64" s="36">
        <f>IF(ISERROR(VLOOKUP(B64,'START LİSTE'!$B$6:$F$1253,4,0)),"",VLOOKUP(B64,'START LİSTE'!$B$6:$F$1253,4,0))</f>
      </c>
      <c r="F64" s="37">
        <f>IF(ISERROR(VLOOKUP($B64,'START LİSTE'!$B$6:$F$1253,5,0)),"",VLOOKUP($B64,'START LİSTE'!$B$6:$F$1253,5,0))</f>
      </c>
      <c r="G64" s="103"/>
      <c r="H64" s="135">
        <f t="shared" si="1"/>
      </c>
    </row>
    <row r="65" spans="1:8" ht="17.25" customHeight="1">
      <c r="A65" s="34">
        <f t="shared" si="0"/>
      </c>
      <c r="B65" s="102"/>
      <c r="C65" s="35">
        <f>IF(ISERROR(VLOOKUP(B65,'START LİSTE'!$B$6:$F$1253,2,0)),"",VLOOKUP(B65,'START LİSTE'!$B$6:$F$1253,2,0))</f>
      </c>
      <c r="D65" s="35">
        <f>IF(ISERROR(VLOOKUP(B65,'START LİSTE'!$B$6:$F$1253,3,0)),"",VLOOKUP(B65,'START LİSTE'!$B$6:$F$1253,3,0))</f>
      </c>
      <c r="E65" s="36">
        <f>IF(ISERROR(VLOOKUP(B65,'START LİSTE'!$B$6:$F$1253,4,0)),"",VLOOKUP(B65,'START LİSTE'!$B$6:$F$1253,4,0))</f>
      </c>
      <c r="F65" s="37">
        <f>IF(ISERROR(VLOOKUP($B65,'START LİSTE'!$B$6:$F$1253,5,0)),"",VLOOKUP($B65,'START LİSTE'!$B$6:$F$1253,5,0))</f>
      </c>
      <c r="G65" s="103"/>
      <c r="H65" s="135">
        <f t="shared" si="1"/>
      </c>
    </row>
    <row r="66" spans="1:8" ht="17.25" customHeight="1">
      <c r="A66" s="34">
        <f t="shared" si="0"/>
      </c>
      <c r="B66" s="102"/>
      <c r="C66" s="35">
        <f>IF(ISERROR(VLOOKUP(B66,'START LİSTE'!$B$6:$F$1253,2,0)),"",VLOOKUP(B66,'START LİSTE'!$B$6:$F$1253,2,0))</f>
      </c>
      <c r="D66" s="35">
        <f>IF(ISERROR(VLOOKUP(B66,'START LİSTE'!$B$6:$F$1253,3,0)),"",VLOOKUP(B66,'START LİSTE'!$B$6:$F$1253,3,0))</f>
      </c>
      <c r="E66" s="36">
        <f>IF(ISERROR(VLOOKUP(B66,'START LİSTE'!$B$6:$F$1253,4,0)),"",VLOOKUP(B66,'START LİSTE'!$B$6:$F$1253,4,0))</f>
      </c>
      <c r="F66" s="37">
        <f>IF(ISERROR(VLOOKUP($B66,'START LİSTE'!$B$6:$F$1253,5,0)),"",VLOOKUP($B66,'START LİSTE'!$B$6:$F$1253,5,0))</f>
      </c>
      <c r="G66" s="103"/>
      <c r="H66" s="135">
        <f t="shared" si="1"/>
      </c>
    </row>
    <row r="67" spans="1:8" ht="17.25" customHeight="1">
      <c r="A67" s="34">
        <f t="shared" si="0"/>
      </c>
      <c r="B67" s="102"/>
      <c r="C67" s="35">
        <f>IF(ISERROR(VLOOKUP(B67,'START LİSTE'!$B$6:$F$1253,2,0)),"",VLOOKUP(B67,'START LİSTE'!$B$6:$F$1253,2,0))</f>
      </c>
      <c r="D67" s="35">
        <f>IF(ISERROR(VLOOKUP(B67,'START LİSTE'!$B$6:$F$1253,3,0)),"",VLOOKUP(B67,'START LİSTE'!$B$6:$F$1253,3,0))</f>
      </c>
      <c r="E67" s="36">
        <f>IF(ISERROR(VLOOKUP(B67,'START LİSTE'!$B$6:$F$1253,4,0)),"",VLOOKUP(B67,'START LİSTE'!$B$6:$F$1253,4,0))</f>
      </c>
      <c r="F67" s="37">
        <f>IF(ISERROR(VLOOKUP($B67,'START LİSTE'!$B$6:$F$1253,5,0)),"",VLOOKUP($B67,'START LİSTE'!$B$6:$F$1253,5,0))</f>
      </c>
      <c r="G67" s="103"/>
      <c r="H67" s="135">
        <f t="shared" si="1"/>
      </c>
    </row>
    <row r="68" spans="1:8" ht="17.25" customHeight="1">
      <c r="A68" s="34">
        <f t="shared" si="0"/>
      </c>
      <c r="B68" s="102"/>
      <c r="C68" s="35">
        <f>IF(ISERROR(VLOOKUP(B68,'START LİSTE'!$B$6:$F$1253,2,0)),"",VLOOKUP(B68,'START LİSTE'!$B$6:$F$1253,2,0))</f>
      </c>
      <c r="D68" s="35">
        <f>IF(ISERROR(VLOOKUP(B68,'START LİSTE'!$B$6:$F$1253,3,0)),"",VLOOKUP(B68,'START LİSTE'!$B$6:$F$1253,3,0))</f>
      </c>
      <c r="E68" s="36">
        <f>IF(ISERROR(VLOOKUP(B68,'START LİSTE'!$B$6:$F$1253,4,0)),"",VLOOKUP(B68,'START LİSTE'!$B$6:$F$1253,4,0))</f>
      </c>
      <c r="F68" s="37">
        <f>IF(ISERROR(VLOOKUP($B68,'START LİSTE'!$B$6:$F$1253,5,0)),"",VLOOKUP($B68,'START LİSTE'!$B$6:$F$1253,5,0))</f>
      </c>
      <c r="G68" s="103"/>
      <c r="H68" s="135">
        <f t="shared" si="1"/>
      </c>
    </row>
    <row r="69" spans="1:8" ht="17.25" customHeight="1">
      <c r="A69" s="34">
        <f t="shared" si="0"/>
      </c>
      <c r="B69" s="102"/>
      <c r="C69" s="35">
        <f>IF(ISERROR(VLOOKUP(B69,'START LİSTE'!$B$6:$F$1253,2,0)),"",VLOOKUP(B69,'START LİSTE'!$B$6:$F$1253,2,0))</f>
      </c>
      <c r="D69" s="35">
        <f>IF(ISERROR(VLOOKUP(B69,'START LİSTE'!$B$6:$F$1253,3,0)),"",VLOOKUP(B69,'START LİSTE'!$B$6:$F$1253,3,0))</f>
      </c>
      <c r="E69" s="36">
        <f>IF(ISERROR(VLOOKUP(B69,'START LİSTE'!$B$6:$F$1253,4,0)),"",VLOOKUP(B69,'START LİSTE'!$B$6:$F$1253,4,0))</f>
      </c>
      <c r="F69" s="37">
        <f>IF(ISERROR(VLOOKUP($B69,'START LİSTE'!$B$6:$F$1253,5,0)),"",VLOOKUP($B69,'START LİSTE'!$B$6:$F$1253,5,0))</f>
      </c>
      <c r="G69" s="103"/>
      <c r="H69" s="135">
        <f t="shared" si="1"/>
      </c>
    </row>
    <row r="70" spans="1:8" ht="17.25" customHeight="1">
      <c r="A70" s="34">
        <f t="shared" si="0"/>
      </c>
      <c r="B70" s="102"/>
      <c r="C70" s="35">
        <f>IF(ISERROR(VLOOKUP(B70,'START LİSTE'!$B$6:$F$1253,2,0)),"",VLOOKUP(B70,'START LİSTE'!$B$6:$F$1253,2,0))</f>
      </c>
      <c r="D70" s="35">
        <f>IF(ISERROR(VLOOKUP(B70,'START LİSTE'!$B$6:$F$1253,3,0)),"",VLOOKUP(B70,'START LİSTE'!$B$6:$F$1253,3,0))</f>
      </c>
      <c r="E70" s="36">
        <f>IF(ISERROR(VLOOKUP(B70,'START LİSTE'!$B$6:$F$1253,4,0)),"",VLOOKUP(B70,'START LİSTE'!$B$6:$F$1253,4,0))</f>
      </c>
      <c r="F70" s="37">
        <f>IF(ISERROR(VLOOKUP($B70,'START LİSTE'!$B$6:$F$1253,5,0)),"",VLOOKUP($B70,'START LİSTE'!$B$6:$F$1253,5,0))</f>
      </c>
      <c r="G70" s="103"/>
      <c r="H70" s="135">
        <f t="shared" si="1"/>
      </c>
    </row>
    <row r="71" spans="1:8" ht="17.25" customHeight="1">
      <c r="A71" s="34">
        <f t="shared" si="0"/>
      </c>
      <c r="B71" s="102"/>
      <c r="C71" s="35">
        <f>IF(ISERROR(VLOOKUP(B71,'START LİSTE'!$B$6:$F$1253,2,0)),"",VLOOKUP(B71,'START LİSTE'!$B$6:$F$1253,2,0))</f>
      </c>
      <c r="D71" s="35">
        <f>IF(ISERROR(VLOOKUP(B71,'START LİSTE'!$B$6:$F$1253,3,0)),"",VLOOKUP(B71,'START LİSTE'!$B$6:$F$1253,3,0))</f>
      </c>
      <c r="E71" s="36">
        <f>IF(ISERROR(VLOOKUP(B71,'START LİSTE'!$B$6:$F$1253,4,0)),"",VLOOKUP(B71,'START LİSTE'!$B$6:$F$1253,4,0))</f>
      </c>
      <c r="F71" s="37">
        <f>IF(ISERROR(VLOOKUP($B71,'START LİSTE'!$B$6:$F$1253,5,0)),"",VLOOKUP($B71,'START LİSTE'!$B$6:$F$1253,5,0))</f>
      </c>
      <c r="G71" s="103"/>
      <c r="H71" s="135">
        <f t="shared" si="1"/>
      </c>
    </row>
    <row r="72" spans="1:8" ht="17.25" customHeight="1">
      <c r="A72" s="34">
        <f aca="true" t="shared" si="2" ref="A72:A135">IF(B72&lt;&gt;"",A71+1,"")</f>
      </c>
      <c r="B72" s="102"/>
      <c r="C72" s="35">
        <f>IF(ISERROR(VLOOKUP(B72,'START LİSTE'!$B$6:$F$1253,2,0)),"",VLOOKUP(B72,'START LİSTE'!$B$6:$F$1253,2,0))</f>
      </c>
      <c r="D72" s="35">
        <f>IF(ISERROR(VLOOKUP(B72,'START LİSTE'!$B$6:$F$1253,3,0)),"",VLOOKUP(B72,'START LİSTE'!$B$6:$F$1253,3,0))</f>
      </c>
      <c r="E72" s="36">
        <f>IF(ISERROR(VLOOKUP(B72,'START LİSTE'!$B$6:$F$1253,4,0)),"",VLOOKUP(B72,'START LİSTE'!$B$6:$F$1253,4,0))</f>
      </c>
      <c r="F72" s="37">
        <f>IF(ISERROR(VLOOKUP($B72,'START LİSTE'!$B$6:$F$1253,5,0)),"",VLOOKUP($B72,'START LİSTE'!$B$6:$F$1253,5,0))</f>
      </c>
      <c r="G72" s="103"/>
      <c r="H72" s="135">
        <f aca="true" t="shared" si="3" ref="H72:H135">IF(OR(G72="DQ",G72="DNF",G72="DNS"),"-",IF(B72&lt;&gt;"",IF(E72="F",H71,H71+1),""))</f>
      </c>
    </row>
    <row r="73" spans="1:8" ht="17.25" customHeight="1">
      <c r="A73" s="34">
        <f t="shared" si="2"/>
      </c>
      <c r="B73" s="102"/>
      <c r="C73" s="35">
        <f>IF(ISERROR(VLOOKUP(B73,'START LİSTE'!$B$6:$F$1253,2,0)),"",VLOOKUP(B73,'START LİSTE'!$B$6:$F$1253,2,0))</f>
      </c>
      <c r="D73" s="35">
        <f>IF(ISERROR(VLOOKUP(B73,'START LİSTE'!$B$6:$F$1253,3,0)),"",VLOOKUP(B73,'START LİSTE'!$B$6:$F$1253,3,0))</f>
      </c>
      <c r="E73" s="36">
        <f>IF(ISERROR(VLOOKUP(B73,'START LİSTE'!$B$6:$F$1253,4,0)),"",VLOOKUP(B73,'START LİSTE'!$B$6:$F$1253,4,0))</f>
      </c>
      <c r="F73" s="37">
        <f>IF(ISERROR(VLOOKUP($B73,'START LİSTE'!$B$6:$F$1253,5,0)),"",VLOOKUP($B73,'START LİSTE'!$B$6:$F$1253,5,0))</f>
      </c>
      <c r="G73" s="103"/>
      <c r="H73" s="135">
        <f t="shared" si="3"/>
      </c>
    </row>
    <row r="74" spans="1:8" ht="17.25" customHeight="1">
      <c r="A74" s="34">
        <f t="shared" si="2"/>
      </c>
      <c r="B74" s="102"/>
      <c r="C74" s="35">
        <f>IF(ISERROR(VLOOKUP(B74,'START LİSTE'!$B$6:$F$1253,2,0)),"",VLOOKUP(B74,'START LİSTE'!$B$6:$F$1253,2,0))</f>
      </c>
      <c r="D74" s="35">
        <f>IF(ISERROR(VLOOKUP(B74,'START LİSTE'!$B$6:$F$1253,3,0)),"",VLOOKUP(B74,'START LİSTE'!$B$6:$F$1253,3,0))</f>
      </c>
      <c r="E74" s="36">
        <f>IF(ISERROR(VLOOKUP(B74,'START LİSTE'!$B$6:$F$1253,4,0)),"",VLOOKUP(B74,'START LİSTE'!$B$6:$F$1253,4,0))</f>
      </c>
      <c r="F74" s="37">
        <f>IF(ISERROR(VLOOKUP($B74,'START LİSTE'!$B$6:$F$1253,5,0)),"",VLOOKUP($B74,'START LİSTE'!$B$6:$F$1253,5,0))</f>
      </c>
      <c r="G74" s="103"/>
      <c r="H74" s="135">
        <f t="shared" si="3"/>
      </c>
    </row>
    <row r="75" spans="1:8" ht="17.25" customHeight="1">
      <c r="A75" s="34">
        <f t="shared" si="2"/>
      </c>
      <c r="B75" s="102"/>
      <c r="C75" s="35">
        <f>IF(ISERROR(VLOOKUP(B75,'START LİSTE'!$B$6:$F$1253,2,0)),"",VLOOKUP(B75,'START LİSTE'!$B$6:$F$1253,2,0))</f>
      </c>
      <c r="D75" s="35">
        <f>IF(ISERROR(VLOOKUP(B75,'START LİSTE'!$B$6:$F$1253,3,0)),"",VLOOKUP(B75,'START LİSTE'!$B$6:$F$1253,3,0))</f>
      </c>
      <c r="E75" s="36">
        <f>IF(ISERROR(VLOOKUP(B75,'START LİSTE'!$B$6:$F$1253,4,0)),"",VLOOKUP(B75,'START LİSTE'!$B$6:$F$1253,4,0))</f>
      </c>
      <c r="F75" s="37">
        <f>IF(ISERROR(VLOOKUP($B75,'START LİSTE'!$B$6:$F$1253,5,0)),"",VLOOKUP($B75,'START LİSTE'!$B$6:$F$1253,5,0))</f>
      </c>
      <c r="G75" s="103"/>
      <c r="H75" s="135">
        <f t="shared" si="3"/>
      </c>
    </row>
    <row r="76" spans="1:8" ht="17.25" customHeight="1">
      <c r="A76" s="34">
        <f t="shared" si="2"/>
      </c>
      <c r="B76" s="102"/>
      <c r="C76" s="35">
        <f>IF(ISERROR(VLOOKUP(B76,'START LİSTE'!$B$6:$F$1253,2,0)),"",VLOOKUP(B76,'START LİSTE'!$B$6:$F$1253,2,0))</f>
      </c>
      <c r="D76" s="35">
        <f>IF(ISERROR(VLOOKUP(B76,'START LİSTE'!$B$6:$F$1253,3,0)),"",VLOOKUP(B76,'START LİSTE'!$B$6:$F$1253,3,0))</f>
      </c>
      <c r="E76" s="36">
        <f>IF(ISERROR(VLOOKUP(B76,'START LİSTE'!$B$6:$F$1253,4,0)),"",VLOOKUP(B76,'START LİSTE'!$B$6:$F$1253,4,0))</f>
      </c>
      <c r="F76" s="37">
        <f>IF(ISERROR(VLOOKUP($B76,'START LİSTE'!$B$6:$F$1253,5,0)),"",VLOOKUP($B76,'START LİSTE'!$B$6:$F$1253,5,0))</f>
      </c>
      <c r="G76" s="103"/>
      <c r="H76" s="135">
        <f t="shared" si="3"/>
      </c>
    </row>
    <row r="77" spans="1:8" ht="17.25" customHeight="1">
      <c r="A77" s="34">
        <f t="shared" si="2"/>
      </c>
      <c r="B77" s="102"/>
      <c r="C77" s="35">
        <f>IF(ISERROR(VLOOKUP(B77,'START LİSTE'!$B$6:$F$1253,2,0)),"",VLOOKUP(B77,'START LİSTE'!$B$6:$F$1253,2,0))</f>
      </c>
      <c r="D77" s="35">
        <f>IF(ISERROR(VLOOKUP(B77,'START LİSTE'!$B$6:$F$1253,3,0)),"",VLOOKUP(B77,'START LİSTE'!$B$6:$F$1253,3,0))</f>
      </c>
      <c r="E77" s="36">
        <f>IF(ISERROR(VLOOKUP(B77,'START LİSTE'!$B$6:$F$1253,4,0)),"",VLOOKUP(B77,'START LİSTE'!$B$6:$F$1253,4,0))</f>
      </c>
      <c r="F77" s="37">
        <f>IF(ISERROR(VLOOKUP($B77,'START LİSTE'!$B$6:$F$1253,5,0)),"",VLOOKUP($B77,'START LİSTE'!$B$6:$F$1253,5,0))</f>
      </c>
      <c r="G77" s="103"/>
      <c r="H77" s="135">
        <f t="shared" si="3"/>
      </c>
    </row>
    <row r="78" spans="1:8" ht="17.25" customHeight="1">
      <c r="A78" s="34">
        <f t="shared" si="2"/>
      </c>
      <c r="B78" s="102"/>
      <c r="C78" s="35">
        <f>IF(ISERROR(VLOOKUP(B78,'START LİSTE'!$B$6:$F$1253,2,0)),"",VLOOKUP(B78,'START LİSTE'!$B$6:$F$1253,2,0))</f>
      </c>
      <c r="D78" s="35">
        <f>IF(ISERROR(VLOOKUP(B78,'START LİSTE'!$B$6:$F$1253,3,0)),"",VLOOKUP(B78,'START LİSTE'!$B$6:$F$1253,3,0))</f>
      </c>
      <c r="E78" s="36">
        <f>IF(ISERROR(VLOOKUP(B78,'START LİSTE'!$B$6:$F$1253,4,0)),"",VLOOKUP(B78,'START LİSTE'!$B$6:$F$1253,4,0))</f>
      </c>
      <c r="F78" s="37">
        <f>IF(ISERROR(VLOOKUP($B78,'START LİSTE'!$B$6:$F$1253,5,0)),"",VLOOKUP($B78,'START LİSTE'!$B$6:$F$1253,5,0))</f>
      </c>
      <c r="G78" s="103"/>
      <c r="H78" s="135">
        <f t="shared" si="3"/>
      </c>
    </row>
    <row r="79" spans="1:8" ht="17.25" customHeight="1">
      <c r="A79" s="34">
        <f t="shared" si="2"/>
      </c>
      <c r="B79" s="102"/>
      <c r="C79" s="35">
        <f>IF(ISERROR(VLOOKUP(B79,'START LİSTE'!$B$6:$F$1253,2,0)),"",VLOOKUP(B79,'START LİSTE'!$B$6:$F$1253,2,0))</f>
      </c>
      <c r="D79" s="35">
        <f>IF(ISERROR(VLOOKUP(B79,'START LİSTE'!$B$6:$F$1253,3,0)),"",VLOOKUP(B79,'START LİSTE'!$B$6:$F$1253,3,0))</f>
      </c>
      <c r="E79" s="36">
        <f>IF(ISERROR(VLOOKUP(B79,'START LİSTE'!$B$6:$F$1253,4,0)),"",VLOOKUP(B79,'START LİSTE'!$B$6:$F$1253,4,0))</f>
      </c>
      <c r="F79" s="37">
        <f>IF(ISERROR(VLOOKUP($B79,'START LİSTE'!$B$6:$F$1253,5,0)),"",VLOOKUP($B79,'START LİSTE'!$B$6:$F$1253,5,0))</f>
      </c>
      <c r="G79" s="103"/>
      <c r="H79" s="135">
        <f t="shared" si="3"/>
      </c>
    </row>
    <row r="80" spans="1:8" ht="17.25" customHeight="1">
      <c r="A80" s="34">
        <f t="shared" si="2"/>
      </c>
      <c r="B80" s="102"/>
      <c r="C80" s="35">
        <f>IF(ISERROR(VLOOKUP(B80,'START LİSTE'!$B$6:$F$1253,2,0)),"",VLOOKUP(B80,'START LİSTE'!$B$6:$F$1253,2,0))</f>
      </c>
      <c r="D80" s="35">
        <f>IF(ISERROR(VLOOKUP(B80,'START LİSTE'!$B$6:$F$1253,3,0)),"",VLOOKUP(B80,'START LİSTE'!$B$6:$F$1253,3,0))</f>
      </c>
      <c r="E80" s="36">
        <f>IF(ISERROR(VLOOKUP(B80,'START LİSTE'!$B$6:$F$1253,4,0)),"",VLOOKUP(B80,'START LİSTE'!$B$6:$F$1253,4,0))</f>
      </c>
      <c r="F80" s="37">
        <f>IF(ISERROR(VLOOKUP($B80,'START LİSTE'!$B$6:$F$1253,5,0)),"",VLOOKUP($B80,'START LİSTE'!$B$6:$F$1253,5,0))</f>
      </c>
      <c r="G80" s="103"/>
      <c r="H80" s="135">
        <f t="shared" si="3"/>
      </c>
    </row>
    <row r="81" spans="1:8" ht="17.25" customHeight="1">
      <c r="A81" s="34">
        <f t="shared" si="2"/>
      </c>
      <c r="B81" s="102"/>
      <c r="C81" s="35">
        <f>IF(ISERROR(VLOOKUP(B81,'START LİSTE'!$B$6:$F$1253,2,0)),"",VLOOKUP(B81,'START LİSTE'!$B$6:$F$1253,2,0))</f>
      </c>
      <c r="D81" s="35">
        <f>IF(ISERROR(VLOOKUP(B81,'START LİSTE'!$B$6:$F$1253,3,0)),"",VLOOKUP(B81,'START LİSTE'!$B$6:$F$1253,3,0))</f>
      </c>
      <c r="E81" s="36">
        <f>IF(ISERROR(VLOOKUP(B81,'START LİSTE'!$B$6:$F$1253,4,0)),"",VLOOKUP(B81,'START LİSTE'!$B$6:$F$1253,4,0))</f>
      </c>
      <c r="F81" s="37">
        <f>IF(ISERROR(VLOOKUP($B81,'START LİSTE'!$B$6:$F$1253,5,0)),"",VLOOKUP($B81,'START LİSTE'!$B$6:$F$1253,5,0))</f>
      </c>
      <c r="G81" s="103"/>
      <c r="H81" s="135">
        <f t="shared" si="3"/>
      </c>
    </row>
    <row r="82" spans="1:8" ht="17.25" customHeight="1">
      <c r="A82" s="34">
        <f t="shared" si="2"/>
      </c>
      <c r="B82" s="102"/>
      <c r="C82" s="35">
        <f>IF(ISERROR(VLOOKUP(B82,'START LİSTE'!$B$6:$F$1253,2,0)),"",VLOOKUP(B82,'START LİSTE'!$B$6:$F$1253,2,0))</f>
      </c>
      <c r="D82" s="35">
        <f>IF(ISERROR(VLOOKUP(B82,'START LİSTE'!$B$6:$F$1253,3,0)),"",VLOOKUP(B82,'START LİSTE'!$B$6:$F$1253,3,0))</f>
      </c>
      <c r="E82" s="36">
        <f>IF(ISERROR(VLOOKUP(B82,'START LİSTE'!$B$6:$F$1253,4,0)),"",VLOOKUP(B82,'START LİSTE'!$B$6:$F$1253,4,0))</f>
      </c>
      <c r="F82" s="37">
        <f>IF(ISERROR(VLOOKUP($B82,'START LİSTE'!$B$6:$F$1253,5,0)),"",VLOOKUP($B82,'START LİSTE'!$B$6:$F$1253,5,0))</f>
      </c>
      <c r="G82" s="103"/>
      <c r="H82" s="135">
        <f t="shared" si="3"/>
      </c>
    </row>
    <row r="83" spans="1:8" ht="17.25" customHeight="1">
      <c r="A83" s="34">
        <f t="shared" si="2"/>
      </c>
      <c r="B83" s="102"/>
      <c r="C83" s="35">
        <f>IF(ISERROR(VLOOKUP(B83,'START LİSTE'!$B$6:$F$1253,2,0)),"",VLOOKUP(B83,'START LİSTE'!$B$6:$F$1253,2,0))</f>
      </c>
      <c r="D83" s="35">
        <f>IF(ISERROR(VLOOKUP(B83,'START LİSTE'!$B$6:$F$1253,3,0)),"",VLOOKUP(B83,'START LİSTE'!$B$6:$F$1253,3,0))</f>
      </c>
      <c r="E83" s="36">
        <f>IF(ISERROR(VLOOKUP(B83,'START LİSTE'!$B$6:$F$1253,4,0)),"",VLOOKUP(B83,'START LİSTE'!$B$6:$F$1253,4,0))</f>
      </c>
      <c r="F83" s="37">
        <f>IF(ISERROR(VLOOKUP($B83,'START LİSTE'!$B$6:$F$1253,5,0)),"",VLOOKUP($B83,'START LİSTE'!$B$6:$F$1253,5,0))</f>
      </c>
      <c r="G83" s="103"/>
      <c r="H83" s="135">
        <f t="shared" si="3"/>
      </c>
    </row>
    <row r="84" spans="1:8" ht="17.25" customHeight="1">
      <c r="A84" s="34">
        <f t="shared" si="2"/>
      </c>
      <c r="B84" s="102"/>
      <c r="C84" s="35">
        <f>IF(ISERROR(VLOOKUP(B84,'START LİSTE'!$B$6:$F$1253,2,0)),"",VLOOKUP(B84,'START LİSTE'!$B$6:$F$1253,2,0))</f>
      </c>
      <c r="D84" s="35">
        <f>IF(ISERROR(VLOOKUP(B84,'START LİSTE'!$B$6:$F$1253,3,0)),"",VLOOKUP(B84,'START LİSTE'!$B$6:$F$1253,3,0))</f>
      </c>
      <c r="E84" s="36">
        <f>IF(ISERROR(VLOOKUP(B84,'START LİSTE'!$B$6:$F$1253,4,0)),"",VLOOKUP(B84,'START LİSTE'!$B$6:$F$1253,4,0))</f>
      </c>
      <c r="F84" s="37">
        <f>IF(ISERROR(VLOOKUP($B84,'START LİSTE'!$B$6:$F$1253,5,0)),"",VLOOKUP($B84,'START LİSTE'!$B$6:$F$1253,5,0))</f>
      </c>
      <c r="G84" s="103"/>
      <c r="H84" s="135">
        <f t="shared" si="3"/>
      </c>
    </row>
    <row r="85" spans="1:8" ht="17.25" customHeight="1">
      <c r="A85" s="34">
        <f t="shared" si="2"/>
      </c>
      <c r="B85" s="102"/>
      <c r="C85" s="35">
        <f>IF(ISERROR(VLOOKUP(B85,'START LİSTE'!$B$6:$F$1253,2,0)),"",VLOOKUP(B85,'START LİSTE'!$B$6:$F$1253,2,0))</f>
      </c>
      <c r="D85" s="35">
        <f>IF(ISERROR(VLOOKUP(B85,'START LİSTE'!$B$6:$F$1253,3,0)),"",VLOOKUP(B85,'START LİSTE'!$B$6:$F$1253,3,0))</f>
      </c>
      <c r="E85" s="36">
        <f>IF(ISERROR(VLOOKUP(B85,'START LİSTE'!$B$6:$F$1253,4,0)),"",VLOOKUP(B85,'START LİSTE'!$B$6:$F$1253,4,0))</f>
      </c>
      <c r="F85" s="37">
        <f>IF(ISERROR(VLOOKUP($B85,'START LİSTE'!$B$6:$F$1253,5,0)),"",VLOOKUP($B85,'START LİSTE'!$B$6:$F$1253,5,0))</f>
      </c>
      <c r="G85" s="103"/>
      <c r="H85" s="135">
        <f t="shared" si="3"/>
      </c>
    </row>
    <row r="86" spans="1:8" ht="17.25" customHeight="1">
      <c r="A86" s="34">
        <f t="shared" si="2"/>
      </c>
      <c r="B86" s="102"/>
      <c r="C86" s="35">
        <f>IF(ISERROR(VLOOKUP(B86,'START LİSTE'!$B$6:$F$1253,2,0)),"",VLOOKUP(B86,'START LİSTE'!$B$6:$F$1253,2,0))</f>
      </c>
      <c r="D86" s="35">
        <f>IF(ISERROR(VLOOKUP(B86,'START LİSTE'!$B$6:$F$1253,3,0)),"",VLOOKUP(B86,'START LİSTE'!$B$6:$F$1253,3,0))</f>
      </c>
      <c r="E86" s="36">
        <f>IF(ISERROR(VLOOKUP(B86,'START LİSTE'!$B$6:$F$1253,4,0)),"",VLOOKUP(B86,'START LİSTE'!$B$6:$F$1253,4,0))</f>
      </c>
      <c r="F86" s="37">
        <f>IF(ISERROR(VLOOKUP($B86,'START LİSTE'!$B$6:$F$1253,5,0)),"",VLOOKUP($B86,'START LİSTE'!$B$6:$F$1253,5,0))</f>
      </c>
      <c r="G86" s="103"/>
      <c r="H86" s="135">
        <f t="shared" si="3"/>
      </c>
    </row>
    <row r="87" spans="1:8" ht="17.25" customHeight="1">
      <c r="A87" s="34">
        <f t="shared" si="2"/>
      </c>
      <c r="B87" s="102"/>
      <c r="C87" s="35">
        <f>IF(ISERROR(VLOOKUP(B87,'START LİSTE'!$B$6:$F$1253,2,0)),"",VLOOKUP(B87,'START LİSTE'!$B$6:$F$1253,2,0))</f>
      </c>
      <c r="D87" s="35">
        <f>IF(ISERROR(VLOOKUP(B87,'START LİSTE'!$B$6:$F$1253,3,0)),"",VLOOKUP(B87,'START LİSTE'!$B$6:$F$1253,3,0))</f>
      </c>
      <c r="E87" s="36">
        <f>IF(ISERROR(VLOOKUP(B87,'START LİSTE'!$B$6:$F$1253,4,0)),"",VLOOKUP(B87,'START LİSTE'!$B$6:$F$1253,4,0))</f>
      </c>
      <c r="F87" s="37">
        <f>IF(ISERROR(VLOOKUP($B87,'START LİSTE'!$B$6:$F$1253,5,0)),"",VLOOKUP($B87,'START LİSTE'!$B$6:$F$1253,5,0))</f>
      </c>
      <c r="G87" s="103"/>
      <c r="H87" s="135">
        <f t="shared" si="3"/>
      </c>
    </row>
    <row r="88" spans="1:8" ht="17.25" customHeight="1">
      <c r="A88" s="34">
        <f t="shared" si="2"/>
      </c>
      <c r="B88" s="102"/>
      <c r="C88" s="35">
        <f>IF(ISERROR(VLOOKUP(B88,'START LİSTE'!$B$6:$F$1253,2,0)),"",VLOOKUP(B88,'START LİSTE'!$B$6:$F$1253,2,0))</f>
      </c>
      <c r="D88" s="35">
        <f>IF(ISERROR(VLOOKUP(B88,'START LİSTE'!$B$6:$F$1253,3,0)),"",VLOOKUP(B88,'START LİSTE'!$B$6:$F$1253,3,0))</f>
      </c>
      <c r="E88" s="36">
        <f>IF(ISERROR(VLOOKUP(B88,'START LİSTE'!$B$6:$F$1253,4,0)),"",VLOOKUP(B88,'START LİSTE'!$B$6:$F$1253,4,0))</f>
      </c>
      <c r="F88" s="37">
        <f>IF(ISERROR(VLOOKUP($B88,'START LİSTE'!$B$6:$F$1253,5,0)),"",VLOOKUP($B88,'START LİSTE'!$B$6:$F$1253,5,0))</f>
      </c>
      <c r="G88" s="103"/>
      <c r="H88" s="135">
        <f t="shared" si="3"/>
      </c>
    </row>
    <row r="89" spans="1:8" ht="17.25" customHeight="1">
      <c r="A89" s="34">
        <f t="shared" si="2"/>
      </c>
      <c r="B89" s="102"/>
      <c r="C89" s="35">
        <f>IF(ISERROR(VLOOKUP(B89,'START LİSTE'!$B$6:$F$1253,2,0)),"",VLOOKUP(B89,'START LİSTE'!$B$6:$F$1253,2,0))</f>
      </c>
      <c r="D89" s="35">
        <f>IF(ISERROR(VLOOKUP(B89,'START LİSTE'!$B$6:$F$1253,3,0)),"",VLOOKUP(B89,'START LİSTE'!$B$6:$F$1253,3,0))</f>
      </c>
      <c r="E89" s="36">
        <f>IF(ISERROR(VLOOKUP(B89,'START LİSTE'!$B$6:$F$1253,4,0)),"",VLOOKUP(B89,'START LİSTE'!$B$6:$F$1253,4,0))</f>
      </c>
      <c r="F89" s="37">
        <f>IF(ISERROR(VLOOKUP($B89,'START LİSTE'!$B$6:$F$1253,5,0)),"",VLOOKUP($B89,'START LİSTE'!$B$6:$F$1253,5,0))</f>
      </c>
      <c r="G89" s="103"/>
      <c r="H89" s="135">
        <f t="shared" si="3"/>
      </c>
    </row>
    <row r="90" spans="1:8" ht="17.25" customHeight="1">
      <c r="A90" s="34">
        <f t="shared" si="2"/>
      </c>
      <c r="B90" s="102"/>
      <c r="C90" s="35">
        <f>IF(ISERROR(VLOOKUP(B90,'START LİSTE'!$B$6:$F$1253,2,0)),"",VLOOKUP(B90,'START LİSTE'!$B$6:$F$1253,2,0))</f>
      </c>
      <c r="D90" s="35">
        <f>IF(ISERROR(VLOOKUP(B90,'START LİSTE'!$B$6:$F$1253,3,0)),"",VLOOKUP(B90,'START LİSTE'!$B$6:$F$1253,3,0))</f>
      </c>
      <c r="E90" s="36">
        <f>IF(ISERROR(VLOOKUP(B90,'START LİSTE'!$B$6:$F$1253,4,0)),"",VLOOKUP(B90,'START LİSTE'!$B$6:$F$1253,4,0))</f>
      </c>
      <c r="F90" s="37">
        <f>IF(ISERROR(VLOOKUP($B90,'START LİSTE'!$B$6:$F$1253,5,0)),"",VLOOKUP($B90,'START LİSTE'!$B$6:$F$1253,5,0))</f>
      </c>
      <c r="G90" s="103"/>
      <c r="H90" s="135">
        <f t="shared" si="3"/>
      </c>
    </row>
    <row r="91" spans="1:8" ht="17.25" customHeight="1">
      <c r="A91" s="34">
        <f t="shared" si="2"/>
      </c>
      <c r="B91" s="102"/>
      <c r="C91" s="35">
        <f>IF(ISERROR(VLOOKUP(B91,'START LİSTE'!$B$6:$F$1253,2,0)),"",VLOOKUP(B91,'START LİSTE'!$B$6:$F$1253,2,0))</f>
      </c>
      <c r="D91" s="35">
        <f>IF(ISERROR(VLOOKUP(B91,'START LİSTE'!$B$6:$F$1253,3,0)),"",VLOOKUP(B91,'START LİSTE'!$B$6:$F$1253,3,0))</f>
      </c>
      <c r="E91" s="36">
        <f>IF(ISERROR(VLOOKUP(B91,'START LİSTE'!$B$6:$F$1253,4,0)),"",VLOOKUP(B91,'START LİSTE'!$B$6:$F$1253,4,0))</f>
      </c>
      <c r="F91" s="37">
        <f>IF(ISERROR(VLOOKUP($B91,'START LİSTE'!$B$6:$F$1253,5,0)),"",VLOOKUP($B91,'START LİSTE'!$B$6:$F$1253,5,0))</f>
      </c>
      <c r="G91" s="103"/>
      <c r="H91" s="135">
        <f t="shared" si="3"/>
      </c>
    </row>
    <row r="92" spans="1:8" ht="17.25" customHeight="1">
      <c r="A92" s="34">
        <f t="shared" si="2"/>
      </c>
      <c r="B92" s="102"/>
      <c r="C92" s="35">
        <f>IF(ISERROR(VLOOKUP(B92,'START LİSTE'!$B$6:$F$1253,2,0)),"",VLOOKUP(B92,'START LİSTE'!$B$6:$F$1253,2,0))</f>
      </c>
      <c r="D92" s="35">
        <f>IF(ISERROR(VLOOKUP(B92,'START LİSTE'!$B$6:$F$1253,3,0)),"",VLOOKUP(B92,'START LİSTE'!$B$6:$F$1253,3,0))</f>
      </c>
      <c r="E92" s="36">
        <f>IF(ISERROR(VLOOKUP(B92,'START LİSTE'!$B$6:$F$1253,4,0)),"",VLOOKUP(B92,'START LİSTE'!$B$6:$F$1253,4,0))</f>
      </c>
      <c r="F92" s="37">
        <f>IF(ISERROR(VLOOKUP($B92,'START LİSTE'!$B$6:$F$1253,5,0)),"",VLOOKUP($B92,'START LİSTE'!$B$6:$F$1253,5,0))</f>
      </c>
      <c r="G92" s="103"/>
      <c r="H92" s="135">
        <f t="shared" si="3"/>
      </c>
    </row>
    <row r="93" spans="1:8" ht="17.25" customHeight="1">
      <c r="A93" s="34">
        <f t="shared" si="2"/>
      </c>
      <c r="B93" s="102"/>
      <c r="C93" s="35">
        <f>IF(ISERROR(VLOOKUP(B93,'START LİSTE'!$B$6:$F$1253,2,0)),"",VLOOKUP(B93,'START LİSTE'!$B$6:$F$1253,2,0))</f>
      </c>
      <c r="D93" s="35">
        <f>IF(ISERROR(VLOOKUP(B93,'START LİSTE'!$B$6:$F$1253,3,0)),"",VLOOKUP(B93,'START LİSTE'!$B$6:$F$1253,3,0))</f>
      </c>
      <c r="E93" s="36">
        <f>IF(ISERROR(VLOOKUP(B93,'START LİSTE'!$B$6:$F$1253,4,0)),"",VLOOKUP(B93,'START LİSTE'!$B$6:$F$1253,4,0))</f>
      </c>
      <c r="F93" s="37">
        <f>IF(ISERROR(VLOOKUP($B93,'START LİSTE'!$B$6:$F$1253,5,0)),"",VLOOKUP($B93,'START LİSTE'!$B$6:$F$1253,5,0))</f>
      </c>
      <c r="G93" s="103"/>
      <c r="H93" s="135">
        <f t="shared" si="3"/>
      </c>
    </row>
    <row r="94" spans="1:8" ht="17.25" customHeight="1">
      <c r="A94" s="34">
        <f t="shared" si="2"/>
      </c>
      <c r="B94" s="102"/>
      <c r="C94" s="35">
        <f>IF(ISERROR(VLOOKUP(B94,'START LİSTE'!$B$6:$F$1253,2,0)),"",VLOOKUP(B94,'START LİSTE'!$B$6:$F$1253,2,0))</f>
      </c>
      <c r="D94" s="35">
        <f>IF(ISERROR(VLOOKUP(B94,'START LİSTE'!$B$6:$F$1253,3,0)),"",VLOOKUP(B94,'START LİSTE'!$B$6:$F$1253,3,0))</f>
      </c>
      <c r="E94" s="36">
        <f>IF(ISERROR(VLOOKUP(B94,'START LİSTE'!$B$6:$F$1253,4,0)),"",VLOOKUP(B94,'START LİSTE'!$B$6:$F$1253,4,0))</f>
      </c>
      <c r="F94" s="37">
        <f>IF(ISERROR(VLOOKUP($B94,'START LİSTE'!$B$6:$F$1253,5,0)),"",VLOOKUP($B94,'START LİSTE'!$B$6:$F$1253,5,0))</f>
      </c>
      <c r="G94" s="103"/>
      <c r="H94" s="135">
        <f t="shared" si="3"/>
      </c>
    </row>
    <row r="95" spans="1:8" ht="17.25" customHeight="1">
      <c r="A95" s="34">
        <f t="shared" si="2"/>
      </c>
      <c r="B95" s="102"/>
      <c r="C95" s="35">
        <f>IF(ISERROR(VLOOKUP(B95,'START LİSTE'!$B$6:$F$1253,2,0)),"",VLOOKUP(B95,'START LİSTE'!$B$6:$F$1253,2,0))</f>
      </c>
      <c r="D95" s="35">
        <f>IF(ISERROR(VLOOKUP(B95,'START LİSTE'!$B$6:$F$1253,3,0)),"",VLOOKUP(B95,'START LİSTE'!$B$6:$F$1253,3,0))</f>
      </c>
      <c r="E95" s="36">
        <f>IF(ISERROR(VLOOKUP(B95,'START LİSTE'!$B$6:$F$1253,4,0)),"",VLOOKUP(B95,'START LİSTE'!$B$6:$F$1253,4,0))</f>
      </c>
      <c r="F95" s="37">
        <f>IF(ISERROR(VLOOKUP($B95,'START LİSTE'!$B$6:$F$1253,5,0)),"",VLOOKUP($B95,'START LİSTE'!$B$6:$F$1253,5,0))</f>
      </c>
      <c r="G95" s="103"/>
      <c r="H95" s="135">
        <f t="shared" si="3"/>
      </c>
    </row>
    <row r="96" spans="1:8" ht="17.25" customHeight="1">
      <c r="A96" s="34">
        <f t="shared" si="2"/>
      </c>
      <c r="B96" s="102"/>
      <c r="C96" s="35">
        <f>IF(ISERROR(VLOOKUP(B96,'START LİSTE'!$B$6:$F$1253,2,0)),"",VLOOKUP(B96,'START LİSTE'!$B$6:$F$1253,2,0))</f>
      </c>
      <c r="D96" s="35">
        <f>IF(ISERROR(VLOOKUP(B96,'START LİSTE'!$B$6:$F$1253,3,0)),"",VLOOKUP(B96,'START LİSTE'!$B$6:$F$1253,3,0))</f>
      </c>
      <c r="E96" s="36">
        <f>IF(ISERROR(VLOOKUP(B96,'START LİSTE'!$B$6:$F$1253,4,0)),"",VLOOKUP(B96,'START LİSTE'!$B$6:$F$1253,4,0))</f>
      </c>
      <c r="F96" s="37">
        <f>IF(ISERROR(VLOOKUP($B96,'START LİSTE'!$B$6:$F$1253,5,0)),"",VLOOKUP($B96,'START LİSTE'!$B$6:$F$1253,5,0))</f>
      </c>
      <c r="G96" s="103"/>
      <c r="H96" s="135">
        <f t="shared" si="3"/>
      </c>
    </row>
    <row r="97" spans="1:8" ht="17.25" customHeight="1">
      <c r="A97" s="34">
        <f t="shared" si="2"/>
      </c>
      <c r="B97" s="102"/>
      <c r="C97" s="35">
        <f>IF(ISERROR(VLOOKUP(B97,'START LİSTE'!$B$6:$F$1253,2,0)),"",VLOOKUP(B97,'START LİSTE'!$B$6:$F$1253,2,0))</f>
      </c>
      <c r="D97" s="35">
        <f>IF(ISERROR(VLOOKUP(B97,'START LİSTE'!$B$6:$F$1253,3,0)),"",VLOOKUP(B97,'START LİSTE'!$B$6:$F$1253,3,0))</f>
      </c>
      <c r="E97" s="36">
        <f>IF(ISERROR(VLOOKUP(B97,'START LİSTE'!$B$6:$F$1253,4,0)),"",VLOOKUP(B97,'START LİSTE'!$B$6:$F$1253,4,0))</f>
      </c>
      <c r="F97" s="37">
        <f>IF(ISERROR(VLOOKUP($B97,'START LİSTE'!$B$6:$F$1253,5,0)),"",VLOOKUP($B97,'START LİSTE'!$B$6:$F$1253,5,0))</f>
      </c>
      <c r="G97" s="103"/>
      <c r="H97" s="135">
        <f t="shared" si="3"/>
      </c>
    </row>
    <row r="98" spans="1:8" ht="17.25" customHeight="1">
      <c r="A98" s="34">
        <f t="shared" si="2"/>
      </c>
      <c r="B98" s="102"/>
      <c r="C98" s="35">
        <f>IF(ISERROR(VLOOKUP(B98,'START LİSTE'!$B$6:$F$1253,2,0)),"",VLOOKUP(B98,'START LİSTE'!$B$6:$F$1253,2,0))</f>
      </c>
      <c r="D98" s="35">
        <f>IF(ISERROR(VLOOKUP(B98,'START LİSTE'!$B$6:$F$1253,3,0)),"",VLOOKUP(B98,'START LİSTE'!$B$6:$F$1253,3,0))</f>
      </c>
      <c r="E98" s="36">
        <f>IF(ISERROR(VLOOKUP(B98,'START LİSTE'!$B$6:$F$1253,4,0)),"",VLOOKUP(B98,'START LİSTE'!$B$6:$F$1253,4,0))</f>
      </c>
      <c r="F98" s="37">
        <f>IF(ISERROR(VLOOKUP($B98,'START LİSTE'!$B$6:$F$1253,5,0)),"",VLOOKUP($B98,'START LİSTE'!$B$6:$F$1253,5,0))</f>
      </c>
      <c r="G98" s="103"/>
      <c r="H98" s="135">
        <f t="shared" si="3"/>
      </c>
    </row>
    <row r="99" spans="1:8" ht="17.25" customHeight="1">
      <c r="A99" s="34">
        <f t="shared" si="2"/>
      </c>
      <c r="B99" s="102"/>
      <c r="C99" s="35">
        <f>IF(ISERROR(VLOOKUP(B99,'START LİSTE'!$B$6:$F$1253,2,0)),"",VLOOKUP(B99,'START LİSTE'!$B$6:$F$1253,2,0))</f>
      </c>
      <c r="D99" s="35">
        <f>IF(ISERROR(VLOOKUP(B99,'START LİSTE'!$B$6:$F$1253,3,0)),"",VLOOKUP(B99,'START LİSTE'!$B$6:$F$1253,3,0))</f>
      </c>
      <c r="E99" s="36">
        <f>IF(ISERROR(VLOOKUP(B99,'START LİSTE'!$B$6:$F$1253,4,0)),"",VLOOKUP(B99,'START LİSTE'!$B$6:$F$1253,4,0))</f>
      </c>
      <c r="F99" s="37">
        <f>IF(ISERROR(VLOOKUP($B99,'START LİSTE'!$B$6:$F$1253,5,0)),"",VLOOKUP($B99,'START LİSTE'!$B$6:$F$1253,5,0))</f>
      </c>
      <c r="G99" s="103"/>
      <c r="H99" s="135">
        <f t="shared" si="3"/>
      </c>
    </row>
    <row r="100" spans="1:8" ht="17.25" customHeight="1">
      <c r="A100" s="34">
        <f t="shared" si="2"/>
      </c>
      <c r="B100" s="102"/>
      <c r="C100" s="35">
        <f>IF(ISERROR(VLOOKUP(B100,'START LİSTE'!$B$6:$F$1253,2,0)),"",VLOOKUP(B100,'START LİSTE'!$B$6:$F$1253,2,0))</f>
      </c>
      <c r="D100" s="35">
        <f>IF(ISERROR(VLOOKUP(B100,'START LİSTE'!$B$6:$F$1253,3,0)),"",VLOOKUP(B100,'START LİSTE'!$B$6:$F$1253,3,0))</f>
      </c>
      <c r="E100" s="36">
        <f>IF(ISERROR(VLOOKUP(B100,'START LİSTE'!$B$6:$F$1253,4,0)),"",VLOOKUP(B100,'START LİSTE'!$B$6:$F$1253,4,0))</f>
      </c>
      <c r="F100" s="37">
        <f>IF(ISERROR(VLOOKUP($B100,'START LİSTE'!$B$6:$F$1253,5,0)),"",VLOOKUP($B100,'START LİSTE'!$B$6:$F$1253,5,0))</f>
      </c>
      <c r="G100" s="103"/>
      <c r="H100" s="135">
        <f t="shared" si="3"/>
      </c>
    </row>
    <row r="101" spans="1:8" ht="17.25" customHeight="1">
      <c r="A101" s="34">
        <f t="shared" si="2"/>
      </c>
      <c r="B101" s="102"/>
      <c r="C101" s="35">
        <f>IF(ISERROR(VLOOKUP(B101,'START LİSTE'!$B$6:$F$1253,2,0)),"",VLOOKUP(B101,'START LİSTE'!$B$6:$F$1253,2,0))</f>
      </c>
      <c r="D101" s="35">
        <f>IF(ISERROR(VLOOKUP(B101,'START LİSTE'!$B$6:$F$1253,3,0)),"",VLOOKUP(B101,'START LİSTE'!$B$6:$F$1253,3,0))</f>
      </c>
      <c r="E101" s="36">
        <f>IF(ISERROR(VLOOKUP(B101,'START LİSTE'!$B$6:$F$1253,4,0)),"",VLOOKUP(B101,'START LİSTE'!$B$6:$F$1253,4,0))</f>
      </c>
      <c r="F101" s="37">
        <f>IF(ISERROR(VLOOKUP($B101,'START LİSTE'!$B$6:$F$1253,5,0)),"",VLOOKUP($B101,'START LİSTE'!$B$6:$F$1253,5,0))</f>
      </c>
      <c r="G101" s="103"/>
      <c r="H101" s="135">
        <f t="shared" si="3"/>
      </c>
    </row>
    <row r="102" spans="1:8" ht="17.25" customHeight="1">
      <c r="A102" s="34">
        <f t="shared" si="2"/>
      </c>
      <c r="B102" s="102"/>
      <c r="C102" s="35">
        <f>IF(ISERROR(VLOOKUP(B102,'START LİSTE'!$B$6:$F$1253,2,0)),"",VLOOKUP(B102,'START LİSTE'!$B$6:$F$1253,2,0))</f>
      </c>
      <c r="D102" s="35">
        <f>IF(ISERROR(VLOOKUP(B102,'START LİSTE'!$B$6:$F$1253,3,0)),"",VLOOKUP(B102,'START LİSTE'!$B$6:$F$1253,3,0))</f>
      </c>
      <c r="E102" s="36">
        <f>IF(ISERROR(VLOOKUP(B102,'START LİSTE'!$B$6:$F$1253,4,0)),"",VLOOKUP(B102,'START LİSTE'!$B$6:$F$1253,4,0))</f>
      </c>
      <c r="F102" s="37">
        <f>IF(ISERROR(VLOOKUP($B102,'START LİSTE'!$B$6:$F$1253,5,0)),"",VLOOKUP($B102,'START LİSTE'!$B$6:$F$1253,5,0))</f>
      </c>
      <c r="G102" s="103"/>
      <c r="H102" s="135">
        <f t="shared" si="3"/>
      </c>
    </row>
    <row r="103" spans="1:8" ht="17.25" customHeight="1">
      <c r="A103" s="34">
        <f t="shared" si="2"/>
      </c>
      <c r="B103" s="102"/>
      <c r="C103" s="35">
        <f>IF(ISERROR(VLOOKUP(B103,'START LİSTE'!$B$6:$F$1253,2,0)),"",VLOOKUP(B103,'START LİSTE'!$B$6:$F$1253,2,0))</f>
      </c>
      <c r="D103" s="35">
        <f>IF(ISERROR(VLOOKUP(B103,'START LİSTE'!$B$6:$F$1253,3,0)),"",VLOOKUP(B103,'START LİSTE'!$B$6:$F$1253,3,0))</f>
      </c>
      <c r="E103" s="36">
        <f>IF(ISERROR(VLOOKUP(B103,'START LİSTE'!$B$6:$F$1253,4,0)),"",VLOOKUP(B103,'START LİSTE'!$B$6:$F$1253,4,0))</f>
      </c>
      <c r="F103" s="37">
        <f>IF(ISERROR(VLOOKUP($B103,'START LİSTE'!$B$6:$F$1253,5,0)),"",VLOOKUP($B103,'START LİSTE'!$B$6:$F$1253,5,0))</f>
      </c>
      <c r="G103" s="103"/>
      <c r="H103" s="135">
        <f t="shared" si="3"/>
      </c>
    </row>
    <row r="104" spans="1:8" ht="17.25" customHeight="1">
      <c r="A104" s="34">
        <f t="shared" si="2"/>
      </c>
      <c r="B104" s="102"/>
      <c r="C104" s="35">
        <f>IF(ISERROR(VLOOKUP(B104,'START LİSTE'!$B$6:$F$1253,2,0)),"",VLOOKUP(B104,'START LİSTE'!$B$6:$F$1253,2,0))</f>
      </c>
      <c r="D104" s="35">
        <f>IF(ISERROR(VLOOKUP(B104,'START LİSTE'!$B$6:$F$1253,3,0)),"",VLOOKUP(B104,'START LİSTE'!$B$6:$F$1253,3,0))</f>
      </c>
      <c r="E104" s="36">
        <f>IF(ISERROR(VLOOKUP(B104,'START LİSTE'!$B$6:$F$1253,4,0)),"",VLOOKUP(B104,'START LİSTE'!$B$6:$F$1253,4,0))</f>
      </c>
      <c r="F104" s="37">
        <f>IF(ISERROR(VLOOKUP($B104,'START LİSTE'!$B$6:$F$1253,5,0)),"",VLOOKUP($B104,'START LİSTE'!$B$6:$F$1253,5,0))</f>
      </c>
      <c r="G104" s="103"/>
      <c r="H104" s="135">
        <f t="shared" si="3"/>
      </c>
    </row>
    <row r="105" spans="1:8" ht="17.25" customHeight="1">
      <c r="A105" s="34">
        <f t="shared" si="2"/>
      </c>
      <c r="B105" s="102"/>
      <c r="C105" s="35">
        <f>IF(ISERROR(VLOOKUP(B105,'START LİSTE'!$B$6:$F$1253,2,0)),"",VLOOKUP(B105,'START LİSTE'!$B$6:$F$1253,2,0))</f>
      </c>
      <c r="D105" s="35">
        <f>IF(ISERROR(VLOOKUP(B105,'START LİSTE'!$B$6:$F$1253,3,0)),"",VLOOKUP(B105,'START LİSTE'!$B$6:$F$1253,3,0))</f>
      </c>
      <c r="E105" s="36">
        <f>IF(ISERROR(VLOOKUP(B105,'START LİSTE'!$B$6:$F$1253,4,0)),"",VLOOKUP(B105,'START LİSTE'!$B$6:$F$1253,4,0))</f>
      </c>
      <c r="F105" s="37">
        <f>IF(ISERROR(VLOOKUP($B105,'START LİSTE'!$B$6:$F$1253,5,0)),"",VLOOKUP($B105,'START LİSTE'!$B$6:$F$1253,5,0))</f>
      </c>
      <c r="G105" s="103"/>
      <c r="H105" s="135">
        <f t="shared" si="3"/>
      </c>
    </row>
    <row r="106" spans="1:8" ht="17.25" customHeight="1">
      <c r="A106" s="34">
        <f t="shared" si="2"/>
      </c>
      <c r="B106" s="102"/>
      <c r="C106" s="35">
        <f>IF(ISERROR(VLOOKUP(B106,'START LİSTE'!$B$6:$F$1253,2,0)),"",VLOOKUP(B106,'START LİSTE'!$B$6:$F$1253,2,0))</f>
      </c>
      <c r="D106" s="35">
        <f>IF(ISERROR(VLOOKUP(B106,'START LİSTE'!$B$6:$F$1253,3,0)),"",VLOOKUP(B106,'START LİSTE'!$B$6:$F$1253,3,0))</f>
      </c>
      <c r="E106" s="36">
        <f>IF(ISERROR(VLOOKUP(B106,'START LİSTE'!$B$6:$F$1253,4,0)),"",VLOOKUP(B106,'START LİSTE'!$B$6:$F$1253,4,0))</f>
      </c>
      <c r="F106" s="37">
        <f>IF(ISERROR(VLOOKUP($B106,'START LİSTE'!$B$6:$F$1253,5,0)),"",VLOOKUP($B106,'START LİSTE'!$B$6:$F$1253,5,0))</f>
      </c>
      <c r="G106" s="103"/>
      <c r="H106" s="135">
        <f t="shared" si="3"/>
      </c>
    </row>
    <row r="107" spans="1:8" ht="17.25" customHeight="1">
      <c r="A107" s="34">
        <f t="shared" si="2"/>
      </c>
      <c r="B107" s="102"/>
      <c r="C107" s="35">
        <f>IF(ISERROR(VLOOKUP(B107,'START LİSTE'!$B$6:$F$1253,2,0)),"",VLOOKUP(B107,'START LİSTE'!$B$6:$F$1253,2,0))</f>
      </c>
      <c r="D107" s="35">
        <f>IF(ISERROR(VLOOKUP(B107,'START LİSTE'!$B$6:$F$1253,3,0)),"",VLOOKUP(B107,'START LİSTE'!$B$6:$F$1253,3,0))</f>
      </c>
      <c r="E107" s="36">
        <f>IF(ISERROR(VLOOKUP(B107,'START LİSTE'!$B$6:$F$1253,4,0)),"",VLOOKUP(B107,'START LİSTE'!$B$6:$F$1253,4,0))</f>
      </c>
      <c r="F107" s="37">
        <f>IF(ISERROR(VLOOKUP($B107,'START LİSTE'!$B$6:$F$1253,5,0)),"",VLOOKUP($B107,'START LİSTE'!$B$6:$F$1253,5,0))</f>
      </c>
      <c r="G107" s="103"/>
      <c r="H107" s="135">
        <f t="shared" si="3"/>
      </c>
    </row>
    <row r="108" spans="1:8" ht="17.25" customHeight="1">
      <c r="A108" s="34">
        <f t="shared" si="2"/>
      </c>
      <c r="B108" s="102"/>
      <c r="C108" s="35">
        <f>IF(ISERROR(VLOOKUP(B108,'START LİSTE'!$B$6:$F$1253,2,0)),"",VLOOKUP(B108,'START LİSTE'!$B$6:$F$1253,2,0))</f>
      </c>
      <c r="D108" s="35">
        <f>IF(ISERROR(VLOOKUP(B108,'START LİSTE'!$B$6:$F$1253,3,0)),"",VLOOKUP(B108,'START LİSTE'!$B$6:$F$1253,3,0))</f>
      </c>
      <c r="E108" s="36">
        <f>IF(ISERROR(VLOOKUP(B108,'START LİSTE'!$B$6:$F$1253,4,0)),"",VLOOKUP(B108,'START LİSTE'!$B$6:$F$1253,4,0))</f>
      </c>
      <c r="F108" s="37">
        <f>IF(ISERROR(VLOOKUP($B108,'START LİSTE'!$B$6:$F$1253,5,0)),"",VLOOKUP($B108,'START LİSTE'!$B$6:$F$1253,5,0))</f>
      </c>
      <c r="G108" s="103"/>
      <c r="H108" s="135">
        <f t="shared" si="3"/>
      </c>
    </row>
    <row r="109" spans="1:8" ht="17.25" customHeight="1">
      <c r="A109" s="34">
        <f t="shared" si="2"/>
      </c>
      <c r="B109" s="102"/>
      <c r="C109" s="35">
        <f>IF(ISERROR(VLOOKUP(B109,'START LİSTE'!$B$6:$F$1253,2,0)),"",VLOOKUP(B109,'START LİSTE'!$B$6:$F$1253,2,0))</f>
      </c>
      <c r="D109" s="35">
        <f>IF(ISERROR(VLOOKUP(B109,'START LİSTE'!$B$6:$F$1253,3,0)),"",VLOOKUP(B109,'START LİSTE'!$B$6:$F$1253,3,0))</f>
      </c>
      <c r="E109" s="36">
        <f>IF(ISERROR(VLOOKUP(B109,'START LİSTE'!$B$6:$F$1253,4,0)),"",VLOOKUP(B109,'START LİSTE'!$B$6:$F$1253,4,0))</f>
      </c>
      <c r="F109" s="37">
        <f>IF(ISERROR(VLOOKUP($B109,'START LİSTE'!$B$6:$F$1253,5,0)),"",VLOOKUP($B109,'START LİSTE'!$B$6:$F$1253,5,0))</f>
      </c>
      <c r="G109" s="103"/>
      <c r="H109" s="135">
        <f t="shared" si="3"/>
      </c>
    </row>
    <row r="110" spans="1:8" ht="17.25" customHeight="1">
      <c r="A110" s="34">
        <f t="shared" si="2"/>
      </c>
      <c r="B110" s="102"/>
      <c r="C110" s="35">
        <f>IF(ISERROR(VLOOKUP(B110,'START LİSTE'!$B$6:$F$1253,2,0)),"",VLOOKUP(B110,'START LİSTE'!$B$6:$F$1253,2,0))</f>
      </c>
      <c r="D110" s="35">
        <f>IF(ISERROR(VLOOKUP(B110,'START LİSTE'!$B$6:$F$1253,3,0)),"",VLOOKUP(B110,'START LİSTE'!$B$6:$F$1253,3,0))</f>
      </c>
      <c r="E110" s="36">
        <f>IF(ISERROR(VLOOKUP(B110,'START LİSTE'!$B$6:$F$1253,4,0)),"",VLOOKUP(B110,'START LİSTE'!$B$6:$F$1253,4,0))</f>
      </c>
      <c r="F110" s="37">
        <f>IF(ISERROR(VLOOKUP($B110,'START LİSTE'!$B$6:$F$1253,5,0)),"",VLOOKUP($B110,'START LİSTE'!$B$6:$F$1253,5,0))</f>
      </c>
      <c r="G110" s="103"/>
      <c r="H110" s="135">
        <f t="shared" si="3"/>
      </c>
    </row>
    <row r="111" spans="1:8" ht="17.25" customHeight="1">
      <c r="A111" s="34">
        <f t="shared" si="2"/>
      </c>
      <c r="B111" s="102"/>
      <c r="C111" s="35">
        <f>IF(ISERROR(VLOOKUP(B111,'START LİSTE'!$B$6:$F$1253,2,0)),"",VLOOKUP(B111,'START LİSTE'!$B$6:$F$1253,2,0))</f>
      </c>
      <c r="D111" s="35">
        <f>IF(ISERROR(VLOOKUP(B111,'START LİSTE'!$B$6:$F$1253,3,0)),"",VLOOKUP(B111,'START LİSTE'!$B$6:$F$1253,3,0))</f>
      </c>
      <c r="E111" s="36">
        <f>IF(ISERROR(VLOOKUP(B111,'START LİSTE'!$B$6:$F$1253,4,0)),"",VLOOKUP(B111,'START LİSTE'!$B$6:$F$1253,4,0))</f>
      </c>
      <c r="F111" s="37">
        <f>IF(ISERROR(VLOOKUP($B111,'START LİSTE'!$B$6:$F$1253,5,0)),"",VLOOKUP($B111,'START LİSTE'!$B$6:$F$1253,5,0))</f>
      </c>
      <c r="G111" s="103"/>
      <c r="H111" s="135">
        <f t="shared" si="3"/>
      </c>
    </row>
    <row r="112" spans="1:8" ht="17.25" customHeight="1">
      <c r="A112" s="34">
        <f t="shared" si="2"/>
      </c>
      <c r="B112" s="102"/>
      <c r="C112" s="35">
        <f>IF(ISERROR(VLOOKUP(B112,'START LİSTE'!$B$6:$F$1253,2,0)),"",VLOOKUP(B112,'START LİSTE'!$B$6:$F$1253,2,0))</f>
      </c>
      <c r="D112" s="35">
        <f>IF(ISERROR(VLOOKUP(B112,'START LİSTE'!$B$6:$F$1253,3,0)),"",VLOOKUP(B112,'START LİSTE'!$B$6:$F$1253,3,0))</f>
      </c>
      <c r="E112" s="36">
        <f>IF(ISERROR(VLOOKUP(B112,'START LİSTE'!$B$6:$F$1253,4,0)),"",VLOOKUP(B112,'START LİSTE'!$B$6:$F$1253,4,0))</f>
      </c>
      <c r="F112" s="37">
        <f>IF(ISERROR(VLOOKUP($B112,'START LİSTE'!$B$6:$F$1253,5,0)),"",VLOOKUP($B112,'START LİSTE'!$B$6:$F$1253,5,0))</f>
      </c>
      <c r="G112" s="103"/>
      <c r="H112" s="135">
        <f t="shared" si="3"/>
      </c>
    </row>
    <row r="113" spans="1:8" ht="17.25" customHeight="1">
      <c r="A113" s="34">
        <f t="shared" si="2"/>
      </c>
      <c r="B113" s="102"/>
      <c r="C113" s="35">
        <f>IF(ISERROR(VLOOKUP(B113,'START LİSTE'!$B$6:$F$1253,2,0)),"",VLOOKUP(B113,'START LİSTE'!$B$6:$F$1253,2,0))</f>
      </c>
      <c r="D113" s="35">
        <f>IF(ISERROR(VLOOKUP(B113,'START LİSTE'!$B$6:$F$1253,3,0)),"",VLOOKUP(B113,'START LİSTE'!$B$6:$F$1253,3,0))</f>
      </c>
      <c r="E113" s="36">
        <f>IF(ISERROR(VLOOKUP(B113,'START LİSTE'!$B$6:$F$1253,4,0)),"",VLOOKUP(B113,'START LİSTE'!$B$6:$F$1253,4,0))</f>
      </c>
      <c r="F113" s="37">
        <f>IF(ISERROR(VLOOKUP($B113,'START LİSTE'!$B$6:$F$1253,5,0)),"",VLOOKUP($B113,'START LİSTE'!$B$6:$F$1253,5,0))</f>
      </c>
      <c r="G113" s="103"/>
      <c r="H113" s="135">
        <f t="shared" si="3"/>
      </c>
    </row>
    <row r="114" spans="1:8" ht="17.25" customHeight="1">
      <c r="A114" s="34">
        <f t="shared" si="2"/>
      </c>
      <c r="B114" s="102"/>
      <c r="C114" s="35">
        <f>IF(ISERROR(VLOOKUP(B114,'START LİSTE'!$B$6:$F$1253,2,0)),"",VLOOKUP(B114,'START LİSTE'!$B$6:$F$1253,2,0))</f>
      </c>
      <c r="D114" s="35">
        <f>IF(ISERROR(VLOOKUP(B114,'START LİSTE'!$B$6:$F$1253,3,0)),"",VLOOKUP(B114,'START LİSTE'!$B$6:$F$1253,3,0))</f>
      </c>
      <c r="E114" s="36">
        <f>IF(ISERROR(VLOOKUP(B114,'START LİSTE'!$B$6:$F$1253,4,0)),"",VLOOKUP(B114,'START LİSTE'!$B$6:$F$1253,4,0))</f>
      </c>
      <c r="F114" s="37">
        <f>IF(ISERROR(VLOOKUP($B114,'START LİSTE'!$B$6:$F$1253,5,0)),"",VLOOKUP($B114,'START LİSTE'!$B$6:$F$1253,5,0))</f>
      </c>
      <c r="G114" s="103"/>
      <c r="H114" s="135">
        <f t="shared" si="3"/>
      </c>
    </row>
    <row r="115" spans="1:8" ht="17.25" customHeight="1">
      <c r="A115" s="34">
        <f t="shared" si="2"/>
      </c>
      <c r="B115" s="102"/>
      <c r="C115" s="35">
        <f>IF(ISERROR(VLOOKUP(B115,'START LİSTE'!$B$6:$F$1253,2,0)),"",VLOOKUP(B115,'START LİSTE'!$B$6:$F$1253,2,0))</f>
      </c>
      <c r="D115" s="35">
        <f>IF(ISERROR(VLOOKUP(B115,'START LİSTE'!$B$6:$F$1253,3,0)),"",VLOOKUP(B115,'START LİSTE'!$B$6:$F$1253,3,0))</f>
      </c>
      <c r="E115" s="36">
        <f>IF(ISERROR(VLOOKUP(B115,'START LİSTE'!$B$6:$F$1253,4,0)),"",VLOOKUP(B115,'START LİSTE'!$B$6:$F$1253,4,0))</f>
      </c>
      <c r="F115" s="37">
        <f>IF(ISERROR(VLOOKUP($B115,'START LİSTE'!$B$6:$F$1253,5,0)),"",VLOOKUP($B115,'START LİSTE'!$B$6:$F$1253,5,0))</f>
      </c>
      <c r="G115" s="103"/>
      <c r="H115" s="135">
        <f t="shared" si="3"/>
      </c>
    </row>
    <row r="116" spans="1:8" ht="17.25" customHeight="1">
      <c r="A116" s="34">
        <f t="shared" si="2"/>
      </c>
      <c r="B116" s="102"/>
      <c r="C116" s="35">
        <f>IF(ISERROR(VLOOKUP(B116,'START LİSTE'!$B$6:$F$1253,2,0)),"",VLOOKUP(B116,'START LİSTE'!$B$6:$F$1253,2,0))</f>
      </c>
      <c r="D116" s="35">
        <f>IF(ISERROR(VLOOKUP(B116,'START LİSTE'!$B$6:$F$1253,3,0)),"",VLOOKUP(B116,'START LİSTE'!$B$6:$F$1253,3,0))</f>
      </c>
      <c r="E116" s="36">
        <f>IF(ISERROR(VLOOKUP(B116,'START LİSTE'!$B$6:$F$1253,4,0)),"",VLOOKUP(B116,'START LİSTE'!$B$6:$F$1253,4,0))</f>
      </c>
      <c r="F116" s="37">
        <f>IF(ISERROR(VLOOKUP($B116,'START LİSTE'!$B$6:$F$1253,5,0)),"",VLOOKUP($B116,'START LİSTE'!$B$6:$F$1253,5,0))</f>
      </c>
      <c r="G116" s="103"/>
      <c r="H116" s="135">
        <f t="shared" si="3"/>
      </c>
    </row>
    <row r="117" spans="1:8" ht="17.25" customHeight="1">
      <c r="A117" s="34">
        <f t="shared" si="2"/>
      </c>
      <c r="B117" s="102"/>
      <c r="C117" s="35">
        <f>IF(ISERROR(VLOOKUP(B117,'START LİSTE'!$B$6:$F$1253,2,0)),"",VLOOKUP(B117,'START LİSTE'!$B$6:$F$1253,2,0))</f>
      </c>
      <c r="D117" s="35">
        <f>IF(ISERROR(VLOOKUP(B117,'START LİSTE'!$B$6:$F$1253,3,0)),"",VLOOKUP(B117,'START LİSTE'!$B$6:$F$1253,3,0))</f>
      </c>
      <c r="E117" s="36">
        <f>IF(ISERROR(VLOOKUP(B117,'START LİSTE'!$B$6:$F$1253,4,0)),"",VLOOKUP(B117,'START LİSTE'!$B$6:$F$1253,4,0))</f>
      </c>
      <c r="F117" s="37">
        <f>IF(ISERROR(VLOOKUP($B117,'START LİSTE'!$B$6:$F$1253,5,0)),"",VLOOKUP($B117,'START LİSTE'!$B$6:$F$1253,5,0))</f>
      </c>
      <c r="G117" s="103"/>
      <c r="H117" s="135">
        <f t="shared" si="3"/>
      </c>
    </row>
    <row r="118" spans="1:8" ht="17.25" customHeight="1">
      <c r="A118" s="34">
        <f t="shared" si="2"/>
      </c>
      <c r="B118" s="102"/>
      <c r="C118" s="35">
        <f>IF(ISERROR(VLOOKUP(B118,'START LİSTE'!$B$6:$F$1253,2,0)),"",VLOOKUP(B118,'START LİSTE'!$B$6:$F$1253,2,0))</f>
      </c>
      <c r="D118" s="35">
        <f>IF(ISERROR(VLOOKUP(B118,'START LİSTE'!$B$6:$F$1253,3,0)),"",VLOOKUP(B118,'START LİSTE'!$B$6:$F$1253,3,0))</f>
      </c>
      <c r="E118" s="36">
        <f>IF(ISERROR(VLOOKUP(B118,'START LİSTE'!$B$6:$F$1253,4,0)),"",VLOOKUP(B118,'START LİSTE'!$B$6:$F$1253,4,0))</f>
      </c>
      <c r="F118" s="37">
        <f>IF(ISERROR(VLOOKUP($B118,'START LİSTE'!$B$6:$F$1253,5,0)),"",VLOOKUP($B118,'START LİSTE'!$B$6:$F$1253,5,0))</f>
      </c>
      <c r="G118" s="103"/>
      <c r="H118" s="135">
        <f t="shared" si="3"/>
      </c>
    </row>
    <row r="119" spans="1:8" ht="17.25" customHeight="1">
      <c r="A119" s="34">
        <f t="shared" si="2"/>
      </c>
      <c r="B119" s="102"/>
      <c r="C119" s="35">
        <f>IF(ISERROR(VLOOKUP(B119,'START LİSTE'!$B$6:$F$1253,2,0)),"",VLOOKUP(B119,'START LİSTE'!$B$6:$F$1253,2,0))</f>
      </c>
      <c r="D119" s="35">
        <f>IF(ISERROR(VLOOKUP(B119,'START LİSTE'!$B$6:$F$1253,3,0)),"",VLOOKUP(B119,'START LİSTE'!$B$6:$F$1253,3,0))</f>
      </c>
      <c r="E119" s="36">
        <f>IF(ISERROR(VLOOKUP(B119,'START LİSTE'!$B$6:$F$1253,4,0)),"",VLOOKUP(B119,'START LİSTE'!$B$6:$F$1253,4,0))</f>
      </c>
      <c r="F119" s="37">
        <f>IF(ISERROR(VLOOKUP($B119,'START LİSTE'!$B$6:$F$1253,5,0)),"",VLOOKUP($B119,'START LİSTE'!$B$6:$F$1253,5,0))</f>
      </c>
      <c r="G119" s="103"/>
      <c r="H119" s="135">
        <f t="shared" si="3"/>
      </c>
    </row>
    <row r="120" spans="1:8" ht="17.25" customHeight="1">
      <c r="A120" s="34">
        <f t="shared" si="2"/>
      </c>
      <c r="B120" s="102"/>
      <c r="C120" s="35">
        <f>IF(ISERROR(VLOOKUP(B120,'START LİSTE'!$B$6:$F$1253,2,0)),"",VLOOKUP(B120,'START LİSTE'!$B$6:$F$1253,2,0))</f>
      </c>
      <c r="D120" s="35">
        <f>IF(ISERROR(VLOOKUP(B120,'START LİSTE'!$B$6:$F$1253,3,0)),"",VLOOKUP(B120,'START LİSTE'!$B$6:$F$1253,3,0))</f>
      </c>
      <c r="E120" s="36">
        <f>IF(ISERROR(VLOOKUP(B120,'START LİSTE'!$B$6:$F$1253,4,0)),"",VLOOKUP(B120,'START LİSTE'!$B$6:$F$1253,4,0))</f>
      </c>
      <c r="F120" s="37">
        <f>IF(ISERROR(VLOOKUP($B120,'START LİSTE'!$B$6:$F$1253,5,0)),"",VLOOKUP($B120,'START LİSTE'!$B$6:$F$1253,5,0))</f>
      </c>
      <c r="G120" s="103"/>
      <c r="H120" s="135">
        <f t="shared" si="3"/>
      </c>
    </row>
    <row r="121" spans="1:8" ht="17.25" customHeight="1">
      <c r="A121" s="34">
        <f t="shared" si="2"/>
      </c>
      <c r="B121" s="102"/>
      <c r="C121" s="35">
        <f>IF(ISERROR(VLOOKUP(B121,'START LİSTE'!$B$6:$F$1253,2,0)),"",VLOOKUP(B121,'START LİSTE'!$B$6:$F$1253,2,0))</f>
      </c>
      <c r="D121" s="35">
        <f>IF(ISERROR(VLOOKUP(B121,'START LİSTE'!$B$6:$F$1253,3,0)),"",VLOOKUP(B121,'START LİSTE'!$B$6:$F$1253,3,0))</f>
      </c>
      <c r="E121" s="36">
        <f>IF(ISERROR(VLOOKUP(B121,'START LİSTE'!$B$6:$F$1253,4,0)),"",VLOOKUP(B121,'START LİSTE'!$B$6:$F$1253,4,0))</f>
      </c>
      <c r="F121" s="37">
        <f>IF(ISERROR(VLOOKUP($B121,'START LİSTE'!$B$6:$F$1253,5,0)),"",VLOOKUP($B121,'START LİSTE'!$B$6:$F$1253,5,0))</f>
      </c>
      <c r="G121" s="103"/>
      <c r="H121" s="135">
        <f t="shared" si="3"/>
      </c>
    </row>
    <row r="122" spans="1:8" ht="17.25" customHeight="1">
      <c r="A122" s="34">
        <f t="shared" si="2"/>
      </c>
      <c r="B122" s="102"/>
      <c r="C122" s="35">
        <f>IF(ISERROR(VLOOKUP(B122,'START LİSTE'!$B$6:$F$1253,2,0)),"",VLOOKUP(B122,'START LİSTE'!$B$6:$F$1253,2,0))</f>
      </c>
      <c r="D122" s="35">
        <f>IF(ISERROR(VLOOKUP(B122,'START LİSTE'!$B$6:$F$1253,3,0)),"",VLOOKUP(B122,'START LİSTE'!$B$6:$F$1253,3,0))</f>
      </c>
      <c r="E122" s="36">
        <f>IF(ISERROR(VLOOKUP(B122,'START LİSTE'!$B$6:$F$1253,4,0)),"",VLOOKUP(B122,'START LİSTE'!$B$6:$F$1253,4,0))</f>
      </c>
      <c r="F122" s="37">
        <f>IF(ISERROR(VLOOKUP($B122,'START LİSTE'!$B$6:$F$1253,5,0)),"",VLOOKUP($B122,'START LİSTE'!$B$6:$F$1253,5,0))</f>
      </c>
      <c r="G122" s="103"/>
      <c r="H122" s="135">
        <f t="shared" si="3"/>
      </c>
    </row>
    <row r="123" spans="1:8" ht="17.25" customHeight="1">
      <c r="A123" s="34">
        <f t="shared" si="2"/>
      </c>
      <c r="B123" s="102"/>
      <c r="C123" s="35">
        <f>IF(ISERROR(VLOOKUP(B123,'START LİSTE'!$B$6:$F$1253,2,0)),"",VLOOKUP(B123,'START LİSTE'!$B$6:$F$1253,2,0))</f>
      </c>
      <c r="D123" s="35">
        <f>IF(ISERROR(VLOOKUP(B123,'START LİSTE'!$B$6:$F$1253,3,0)),"",VLOOKUP(B123,'START LİSTE'!$B$6:$F$1253,3,0))</f>
      </c>
      <c r="E123" s="36">
        <f>IF(ISERROR(VLOOKUP(B123,'START LİSTE'!$B$6:$F$1253,4,0)),"",VLOOKUP(B123,'START LİSTE'!$B$6:$F$1253,4,0))</f>
      </c>
      <c r="F123" s="37">
        <f>IF(ISERROR(VLOOKUP($B123,'START LİSTE'!$B$6:$F$1253,5,0)),"",VLOOKUP($B123,'START LİSTE'!$B$6:$F$1253,5,0))</f>
      </c>
      <c r="G123" s="103"/>
      <c r="H123" s="135">
        <f t="shared" si="3"/>
      </c>
    </row>
    <row r="124" spans="1:8" ht="17.25" customHeight="1">
      <c r="A124" s="34">
        <f t="shared" si="2"/>
      </c>
      <c r="B124" s="102"/>
      <c r="C124" s="35">
        <f>IF(ISERROR(VLOOKUP(B124,'START LİSTE'!$B$6:$F$1253,2,0)),"",VLOOKUP(B124,'START LİSTE'!$B$6:$F$1253,2,0))</f>
      </c>
      <c r="D124" s="35">
        <f>IF(ISERROR(VLOOKUP(B124,'START LİSTE'!$B$6:$F$1253,3,0)),"",VLOOKUP(B124,'START LİSTE'!$B$6:$F$1253,3,0))</f>
      </c>
      <c r="E124" s="36">
        <f>IF(ISERROR(VLOOKUP(B124,'START LİSTE'!$B$6:$F$1253,4,0)),"",VLOOKUP(B124,'START LİSTE'!$B$6:$F$1253,4,0))</f>
      </c>
      <c r="F124" s="37">
        <f>IF(ISERROR(VLOOKUP($B124,'START LİSTE'!$B$6:$F$1253,5,0)),"",VLOOKUP($B124,'START LİSTE'!$B$6:$F$1253,5,0))</f>
      </c>
      <c r="G124" s="103"/>
      <c r="H124" s="135">
        <f t="shared" si="3"/>
      </c>
    </row>
    <row r="125" spans="1:8" ht="17.25" customHeight="1">
      <c r="A125" s="34">
        <f t="shared" si="2"/>
      </c>
      <c r="B125" s="102"/>
      <c r="C125" s="35">
        <f>IF(ISERROR(VLOOKUP(B125,'START LİSTE'!$B$6:$F$1253,2,0)),"",VLOOKUP(B125,'START LİSTE'!$B$6:$F$1253,2,0))</f>
      </c>
      <c r="D125" s="35">
        <f>IF(ISERROR(VLOOKUP(B125,'START LİSTE'!$B$6:$F$1253,3,0)),"",VLOOKUP(B125,'START LİSTE'!$B$6:$F$1253,3,0))</f>
      </c>
      <c r="E125" s="36">
        <f>IF(ISERROR(VLOOKUP(B125,'START LİSTE'!$B$6:$F$1253,4,0)),"",VLOOKUP(B125,'START LİSTE'!$B$6:$F$1253,4,0))</f>
      </c>
      <c r="F125" s="37">
        <f>IF(ISERROR(VLOOKUP($B125,'START LİSTE'!$B$6:$F$1253,5,0)),"",VLOOKUP($B125,'START LİSTE'!$B$6:$F$1253,5,0))</f>
      </c>
      <c r="G125" s="103"/>
      <c r="H125" s="135">
        <f t="shared" si="3"/>
      </c>
    </row>
    <row r="126" spans="1:8" ht="17.25" customHeight="1">
      <c r="A126" s="34">
        <f t="shared" si="2"/>
      </c>
      <c r="B126" s="102"/>
      <c r="C126" s="35">
        <f>IF(ISERROR(VLOOKUP(B126,'START LİSTE'!$B$6:$F$1253,2,0)),"",VLOOKUP(B126,'START LİSTE'!$B$6:$F$1253,2,0))</f>
      </c>
      <c r="D126" s="35">
        <f>IF(ISERROR(VLOOKUP(B126,'START LİSTE'!$B$6:$F$1253,3,0)),"",VLOOKUP(B126,'START LİSTE'!$B$6:$F$1253,3,0))</f>
      </c>
      <c r="E126" s="36">
        <f>IF(ISERROR(VLOOKUP(B126,'START LİSTE'!$B$6:$F$1253,4,0)),"",VLOOKUP(B126,'START LİSTE'!$B$6:$F$1253,4,0))</f>
      </c>
      <c r="F126" s="37">
        <f>IF(ISERROR(VLOOKUP($B126,'START LİSTE'!$B$6:$F$1253,5,0)),"",VLOOKUP($B126,'START LİSTE'!$B$6:$F$1253,5,0))</f>
      </c>
      <c r="G126" s="103"/>
      <c r="H126" s="135">
        <f t="shared" si="3"/>
      </c>
    </row>
    <row r="127" spans="1:8" ht="17.25" customHeight="1">
      <c r="A127" s="34">
        <f t="shared" si="2"/>
      </c>
      <c r="B127" s="102"/>
      <c r="C127" s="35">
        <f>IF(ISERROR(VLOOKUP(B127,'START LİSTE'!$B$6:$F$1253,2,0)),"",VLOOKUP(B127,'START LİSTE'!$B$6:$F$1253,2,0))</f>
      </c>
      <c r="D127" s="35">
        <f>IF(ISERROR(VLOOKUP(B127,'START LİSTE'!$B$6:$F$1253,3,0)),"",VLOOKUP(B127,'START LİSTE'!$B$6:$F$1253,3,0))</f>
      </c>
      <c r="E127" s="36">
        <f>IF(ISERROR(VLOOKUP(B127,'START LİSTE'!$B$6:$F$1253,4,0)),"",VLOOKUP(B127,'START LİSTE'!$B$6:$F$1253,4,0))</f>
      </c>
      <c r="F127" s="37">
        <f>IF(ISERROR(VLOOKUP($B127,'START LİSTE'!$B$6:$F$1253,5,0)),"",VLOOKUP($B127,'START LİSTE'!$B$6:$F$1253,5,0))</f>
      </c>
      <c r="G127" s="103"/>
      <c r="H127" s="135">
        <f t="shared" si="3"/>
      </c>
    </row>
    <row r="128" spans="1:8" ht="17.25" customHeight="1">
      <c r="A128" s="34">
        <f t="shared" si="2"/>
      </c>
      <c r="B128" s="102"/>
      <c r="C128" s="35">
        <f>IF(ISERROR(VLOOKUP(B128,'START LİSTE'!$B$6:$F$1253,2,0)),"",VLOOKUP(B128,'START LİSTE'!$B$6:$F$1253,2,0))</f>
      </c>
      <c r="D128" s="35">
        <f>IF(ISERROR(VLOOKUP(B128,'START LİSTE'!$B$6:$F$1253,3,0)),"",VLOOKUP(B128,'START LİSTE'!$B$6:$F$1253,3,0))</f>
      </c>
      <c r="E128" s="36">
        <f>IF(ISERROR(VLOOKUP(B128,'START LİSTE'!$B$6:$F$1253,4,0)),"",VLOOKUP(B128,'START LİSTE'!$B$6:$F$1253,4,0))</f>
      </c>
      <c r="F128" s="37">
        <f>IF(ISERROR(VLOOKUP($B128,'START LİSTE'!$B$6:$F$1253,5,0)),"",VLOOKUP($B128,'START LİSTE'!$B$6:$F$1253,5,0))</f>
      </c>
      <c r="G128" s="103"/>
      <c r="H128" s="135">
        <f t="shared" si="3"/>
      </c>
    </row>
    <row r="129" spans="1:8" ht="17.25" customHeight="1">
      <c r="A129" s="34">
        <f t="shared" si="2"/>
      </c>
      <c r="B129" s="102"/>
      <c r="C129" s="35">
        <f>IF(ISERROR(VLOOKUP(B129,'START LİSTE'!$B$6:$F$1253,2,0)),"",VLOOKUP(B129,'START LİSTE'!$B$6:$F$1253,2,0))</f>
      </c>
      <c r="D129" s="35">
        <f>IF(ISERROR(VLOOKUP(B129,'START LİSTE'!$B$6:$F$1253,3,0)),"",VLOOKUP(B129,'START LİSTE'!$B$6:$F$1253,3,0))</f>
      </c>
      <c r="E129" s="36">
        <f>IF(ISERROR(VLOOKUP(B129,'START LİSTE'!$B$6:$F$1253,4,0)),"",VLOOKUP(B129,'START LİSTE'!$B$6:$F$1253,4,0))</f>
      </c>
      <c r="F129" s="37">
        <f>IF(ISERROR(VLOOKUP($B129,'START LİSTE'!$B$6:$F$1253,5,0)),"",VLOOKUP($B129,'START LİSTE'!$B$6:$F$1253,5,0))</f>
      </c>
      <c r="G129" s="103"/>
      <c r="H129" s="135">
        <f t="shared" si="3"/>
      </c>
    </row>
    <row r="130" spans="1:8" ht="17.25" customHeight="1">
      <c r="A130" s="34">
        <f t="shared" si="2"/>
      </c>
      <c r="B130" s="102"/>
      <c r="C130" s="35">
        <f>IF(ISERROR(VLOOKUP(B130,'START LİSTE'!$B$6:$F$1253,2,0)),"",VLOOKUP(B130,'START LİSTE'!$B$6:$F$1253,2,0))</f>
      </c>
      <c r="D130" s="35">
        <f>IF(ISERROR(VLOOKUP(B130,'START LİSTE'!$B$6:$F$1253,3,0)),"",VLOOKUP(B130,'START LİSTE'!$B$6:$F$1253,3,0))</f>
      </c>
      <c r="E130" s="36">
        <f>IF(ISERROR(VLOOKUP(B130,'START LİSTE'!$B$6:$F$1253,4,0)),"",VLOOKUP(B130,'START LİSTE'!$B$6:$F$1253,4,0))</f>
      </c>
      <c r="F130" s="37">
        <f>IF(ISERROR(VLOOKUP($B130,'START LİSTE'!$B$6:$F$1253,5,0)),"",VLOOKUP($B130,'START LİSTE'!$B$6:$F$1253,5,0))</f>
      </c>
      <c r="G130" s="103"/>
      <c r="H130" s="135">
        <f t="shared" si="3"/>
      </c>
    </row>
    <row r="131" spans="1:8" ht="17.25" customHeight="1">
      <c r="A131" s="34">
        <f t="shared" si="2"/>
      </c>
      <c r="B131" s="102"/>
      <c r="C131" s="35">
        <f>IF(ISERROR(VLOOKUP(B131,'START LİSTE'!$B$6:$F$1253,2,0)),"",VLOOKUP(B131,'START LİSTE'!$B$6:$F$1253,2,0))</f>
      </c>
      <c r="D131" s="35">
        <f>IF(ISERROR(VLOOKUP(B131,'START LİSTE'!$B$6:$F$1253,3,0)),"",VLOOKUP(B131,'START LİSTE'!$B$6:$F$1253,3,0))</f>
      </c>
      <c r="E131" s="36">
        <f>IF(ISERROR(VLOOKUP(B131,'START LİSTE'!$B$6:$F$1253,4,0)),"",VLOOKUP(B131,'START LİSTE'!$B$6:$F$1253,4,0))</f>
      </c>
      <c r="F131" s="37">
        <f>IF(ISERROR(VLOOKUP($B131,'START LİSTE'!$B$6:$F$1253,5,0)),"",VLOOKUP($B131,'START LİSTE'!$B$6:$F$1253,5,0))</f>
      </c>
      <c r="G131" s="103"/>
      <c r="H131" s="135">
        <f t="shared" si="3"/>
      </c>
    </row>
    <row r="132" spans="1:8" ht="17.25" customHeight="1">
      <c r="A132" s="34">
        <f t="shared" si="2"/>
      </c>
      <c r="B132" s="102"/>
      <c r="C132" s="35">
        <f>IF(ISERROR(VLOOKUP(B132,'START LİSTE'!$B$6:$F$1253,2,0)),"",VLOOKUP(B132,'START LİSTE'!$B$6:$F$1253,2,0))</f>
      </c>
      <c r="D132" s="35">
        <f>IF(ISERROR(VLOOKUP(B132,'START LİSTE'!$B$6:$F$1253,3,0)),"",VLOOKUP(B132,'START LİSTE'!$B$6:$F$1253,3,0))</f>
      </c>
      <c r="E132" s="36">
        <f>IF(ISERROR(VLOOKUP(B132,'START LİSTE'!$B$6:$F$1253,4,0)),"",VLOOKUP(B132,'START LİSTE'!$B$6:$F$1253,4,0))</f>
      </c>
      <c r="F132" s="37">
        <f>IF(ISERROR(VLOOKUP($B132,'START LİSTE'!$B$6:$F$1253,5,0)),"",VLOOKUP($B132,'START LİSTE'!$B$6:$F$1253,5,0))</f>
      </c>
      <c r="G132" s="103"/>
      <c r="H132" s="135">
        <f t="shared" si="3"/>
      </c>
    </row>
    <row r="133" spans="1:8" ht="17.25" customHeight="1">
      <c r="A133" s="34">
        <f t="shared" si="2"/>
      </c>
      <c r="B133" s="102"/>
      <c r="C133" s="35">
        <f>IF(ISERROR(VLOOKUP(B133,'START LİSTE'!$B$6:$F$1253,2,0)),"",VLOOKUP(B133,'START LİSTE'!$B$6:$F$1253,2,0))</f>
      </c>
      <c r="D133" s="35">
        <f>IF(ISERROR(VLOOKUP(B133,'START LİSTE'!$B$6:$F$1253,3,0)),"",VLOOKUP(B133,'START LİSTE'!$B$6:$F$1253,3,0))</f>
      </c>
      <c r="E133" s="36">
        <f>IF(ISERROR(VLOOKUP(B133,'START LİSTE'!$B$6:$F$1253,4,0)),"",VLOOKUP(B133,'START LİSTE'!$B$6:$F$1253,4,0))</f>
      </c>
      <c r="F133" s="37">
        <f>IF(ISERROR(VLOOKUP($B133,'START LİSTE'!$B$6:$F$1253,5,0)),"",VLOOKUP($B133,'START LİSTE'!$B$6:$F$1253,5,0))</f>
      </c>
      <c r="G133" s="103"/>
      <c r="H133" s="135">
        <f t="shared" si="3"/>
      </c>
    </row>
    <row r="134" spans="1:8" ht="17.25" customHeight="1">
      <c r="A134" s="34">
        <f t="shared" si="2"/>
      </c>
      <c r="B134" s="102"/>
      <c r="C134" s="35">
        <f>IF(ISERROR(VLOOKUP(B134,'START LİSTE'!$B$6:$F$1253,2,0)),"",VLOOKUP(B134,'START LİSTE'!$B$6:$F$1253,2,0))</f>
      </c>
      <c r="D134" s="35">
        <f>IF(ISERROR(VLOOKUP(B134,'START LİSTE'!$B$6:$F$1253,3,0)),"",VLOOKUP(B134,'START LİSTE'!$B$6:$F$1253,3,0))</f>
      </c>
      <c r="E134" s="36">
        <f>IF(ISERROR(VLOOKUP(B134,'START LİSTE'!$B$6:$F$1253,4,0)),"",VLOOKUP(B134,'START LİSTE'!$B$6:$F$1253,4,0))</f>
      </c>
      <c r="F134" s="37">
        <f>IF(ISERROR(VLOOKUP($B134,'START LİSTE'!$B$6:$F$1253,5,0)),"",VLOOKUP($B134,'START LİSTE'!$B$6:$F$1253,5,0))</f>
      </c>
      <c r="G134" s="103"/>
      <c r="H134" s="135">
        <f t="shared" si="3"/>
      </c>
    </row>
    <row r="135" spans="1:8" ht="17.25" customHeight="1">
      <c r="A135" s="34">
        <f t="shared" si="2"/>
      </c>
      <c r="B135" s="102"/>
      <c r="C135" s="35">
        <f>IF(ISERROR(VLOOKUP(B135,'START LİSTE'!$B$6:$F$1253,2,0)),"",VLOOKUP(B135,'START LİSTE'!$B$6:$F$1253,2,0))</f>
      </c>
      <c r="D135" s="35">
        <f>IF(ISERROR(VLOOKUP(B135,'START LİSTE'!$B$6:$F$1253,3,0)),"",VLOOKUP(B135,'START LİSTE'!$B$6:$F$1253,3,0))</f>
      </c>
      <c r="E135" s="36">
        <f>IF(ISERROR(VLOOKUP(B135,'START LİSTE'!$B$6:$F$1253,4,0)),"",VLOOKUP(B135,'START LİSTE'!$B$6:$F$1253,4,0))</f>
      </c>
      <c r="F135" s="37">
        <f>IF(ISERROR(VLOOKUP($B135,'START LİSTE'!$B$6:$F$1253,5,0)),"",VLOOKUP($B135,'START LİSTE'!$B$6:$F$1253,5,0))</f>
      </c>
      <c r="G135" s="103"/>
      <c r="H135" s="135">
        <f t="shared" si="3"/>
      </c>
    </row>
    <row r="136" spans="1:8" ht="17.25" customHeight="1">
      <c r="A136" s="34">
        <f aca="true" t="shared" si="4" ref="A136:A199">IF(B136&lt;&gt;"",A135+1,"")</f>
      </c>
      <c r="B136" s="102"/>
      <c r="C136" s="35">
        <f>IF(ISERROR(VLOOKUP(B136,'START LİSTE'!$B$6:$F$1253,2,0)),"",VLOOKUP(B136,'START LİSTE'!$B$6:$F$1253,2,0))</f>
      </c>
      <c r="D136" s="35">
        <f>IF(ISERROR(VLOOKUP(B136,'START LİSTE'!$B$6:$F$1253,3,0)),"",VLOOKUP(B136,'START LİSTE'!$B$6:$F$1253,3,0))</f>
      </c>
      <c r="E136" s="36">
        <f>IF(ISERROR(VLOOKUP(B136,'START LİSTE'!$B$6:$F$1253,4,0)),"",VLOOKUP(B136,'START LİSTE'!$B$6:$F$1253,4,0))</f>
      </c>
      <c r="F136" s="37">
        <f>IF(ISERROR(VLOOKUP($B136,'START LİSTE'!$B$6:$F$1253,5,0)),"",VLOOKUP($B136,'START LİSTE'!$B$6:$F$1253,5,0))</f>
      </c>
      <c r="G136" s="103"/>
      <c r="H136" s="135">
        <f aca="true" t="shared" si="5" ref="H136:H199">IF(OR(G136="DQ",G136="DNF",G136="DNS"),"-",IF(B136&lt;&gt;"",IF(E136="F",H135,H135+1),""))</f>
      </c>
    </row>
    <row r="137" spans="1:8" ht="17.25" customHeight="1">
      <c r="A137" s="34">
        <f t="shared" si="4"/>
      </c>
      <c r="B137" s="102"/>
      <c r="C137" s="35">
        <f>IF(ISERROR(VLOOKUP(B137,'START LİSTE'!$B$6:$F$1253,2,0)),"",VLOOKUP(B137,'START LİSTE'!$B$6:$F$1253,2,0))</f>
      </c>
      <c r="D137" s="35">
        <f>IF(ISERROR(VLOOKUP(B137,'START LİSTE'!$B$6:$F$1253,3,0)),"",VLOOKUP(B137,'START LİSTE'!$B$6:$F$1253,3,0))</f>
      </c>
      <c r="E137" s="36">
        <f>IF(ISERROR(VLOOKUP(B137,'START LİSTE'!$B$6:$F$1253,4,0)),"",VLOOKUP(B137,'START LİSTE'!$B$6:$F$1253,4,0))</f>
      </c>
      <c r="F137" s="37">
        <f>IF(ISERROR(VLOOKUP($B137,'START LİSTE'!$B$6:$F$1253,5,0)),"",VLOOKUP($B137,'START LİSTE'!$B$6:$F$1253,5,0))</f>
      </c>
      <c r="G137" s="103"/>
      <c r="H137" s="135">
        <f t="shared" si="5"/>
      </c>
    </row>
    <row r="138" spans="1:8" ht="17.25" customHeight="1">
      <c r="A138" s="34">
        <f t="shared" si="4"/>
      </c>
      <c r="B138" s="102"/>
      <c r="C138" s="35">
        <f>IF(ISERROR(VLOOKUP(B138,'START LİSTE'!$B$6:$F$1253,2,0)),"",VLOOKUP(B138,'START LİSTE'!$B$6:$F$1253,2,0))</f>
      </c>
      <c r="D138" s="35">
        <f>IF(ISERROR(VLOOKUP(B138,'START LİSTE'!$B$6:$F$1253,3,0)),"",VLOOKUP(B138,'START LİSTE'!$B$6:$F$1253,3,0))</f>
      </c>
      <c r="E138" s="36">
        <f>IF(ISERROR(VLOOKUP(B138,'START LİSTE'!$B$6:$F$1253,4,0)),"",VLOOKUP(B138,'START LİSTE'!$B$6:$F$1253,4,0))</f>
      </c>
      <c r="F138" s="37">
        <f>IF(ISERROR(VLOOKUP($B138,'START LİSTE'!$B$6:$F$1253,5,0)),"",VLOOKUP($B138,'START LİSTE'!$B$6:$F$1253,5,0))</f>
      </c>
      <c r="G138" s="103"/>
      <c r="H138" s="135">
        <f t="shared" si="5"/>
      </c>
    </row>
    <row r="139" spans="1:8" ht="17.25" customHeight="1">
      <c r="A139" s="34">
        <f t="shared" si="4"/>
      </c>
      <c r="B139" s="102"/>
      <c r="C139" s="35">
        <f>IF(ISERROR(VLOOKUP(B139,'START LİSTE'!$B$6:$F$1253,2,0)),"",VLOOKUP(B139,'START LİSTE'!$B$6:$F$1253,2,0))</f>
      </c>
      <c r="D139" s="35">
        <f>IF(ISERROR(VLOOKUP(B139,'START LİSTE'!$B$6:$F$1253,3,0)),"",VLOOKUP(B139,'START LİSTE'!$B$6:$F$1253,3,0))</f>
      </c>
      <c r="E139" s="36">
        <f>IF(ISERROR(VLOOKUP(B139,'START LİSTE'!$B$6:$F$1253,4,0)),"",VLOOKUP(B139,'START LİSTE'!$B$6:$F$1253,4,0))</f>
      </c>
      <c r="F139" s="37">
        <f>IF(ISERROR(VLOOKUP($B139,'START LİSTE'!$B$6:$F$1253,5,0)),"",VLOOKUP($B139,'START LİSTE'!$B$6:$F$1253,5,0))</f>
      </c>
      <c r="G139" s="103"/>
      <c r="H139" s="135">
        <f t="shared" si="5"/>
      </c>
    </row>
    <row r="140" spans="1:8" ht="17.25" customHeight="1">
      <c r="A140" s="34">
        <f t="shared" si="4"/>
      </c>
      <c r="B140" s="102"/>
      <c r="C140" s="35">
        <f>IF(ISERROR(VLOOKUP(B140,'START LİSTE'!$B$6:$F$1253,2,0)),"",VLOOKUP(B140,'START LİSTE'!$B$6:$F$1253,2,0))</f>
      </c>
      <c r="D140" s="35">
        <f>IF(ISERROR(VLOOKUP(B140,'START LİSTE'!$B$6:$F$1253,3,0)),"",VLOOKUP(B140,'START LİSTE'!$B$6:$F$1253,3,0))</f>
      </c>
      <c r="E140" s="36">
        <f>IF(ISERROR(VLOOKUP(B140,'START LİSTE'!$B$6:$F$1253,4,0)),"",VLOOKUP(B140,'START LİSTE'!$B$6:$F$1253,4,0))</f>
      </c>
      <c r="F140" s="37">
        <f>IF(ISERROR(VLOOKUP($B140,'START LİSTE'!$B$6:$F$1253,5,0)),"",VLOOKUP($B140,'START LİSTE'!$B$6:$F$1253,5,0))</f>
      </c>
      <c r="G140" s="103"/>
      <c r="H140" s="135">
        <f t="shared" si="5"/>
      </c>
    </row>
    <row r="141" spans="1:8" ht="17.25" customHeight="1">
      <c r="A141" s="34">
        <f t="shared" si="4"/>
      </c>
      <c r="B141" s="102"/>
      <c r="C141" s="35">
        <f>IF(ISERROR(VLOOKUP(B141,'START LİSTE'!$B$6:$F$1253,2,0)),"",VLOOKUP(B141,'START LİSTE'!$B$6:$F$1253,2,0))</f>
      </c>
      <c r="D141" s="35">
        <f>IF(ISERROR(VLOOKUP(B141,'START LİSTE'!$B$6:$F$1253,3,0)),"",VLOOKUP(B141,'START LİSTE'!$B$6:$F$1253,3,0))</f>
      </c>
      <c r="E141" s="36">
        <f>IF(ISERROR(VLOOKUP(B141,'START LİSTE'!$B$6:$F$1253,4,0)),"",VLOOKUP(B141,'START LİSTE'!$B$6:$F$1253,4,0))</f>
      </c>
      <c r="F141" s="37">
        <f>IF(ISERROR(VLOOKUP($B141,'START LİSTE'!$B$6:$F$1253,5,0)),"",VLOOKUP($B141,'START LİSTE'!$B$6:$F$1253,5,0))</f>
      </c>
      <c r="G141" s="103"/>
      <c r="H141" s="135">
        <f t="shared" si="5"/>
      </c>
    </row>
    <row r="142" spans="1:8" ht="17.25" customHeight="1">
      <c r="A142" s="34">
        <f t="shared" si="4"/>
      </c>
      <c r="B142" s="102"/>
      <c r="C142" s="35">
        <f>IF(ISERROR(VLOOKUP(B142,'START LİSTE'!$B$6:$F$1253,2,0)),"",VLOOKUP(B142,'START LİSTE'!$B$6:$F$1253,2,0))</f>
      </c>
      <c r="D142" s="35">
        <f>IF(ISERROR(VLOOKUP(B142,'START LİSTE'!$B$6:$F$1253,3,0)),"",VLOOKUP(B142,'START LİSTE'!$B$6:$F$1253,3,0))</f>
      </c>
      <c r="E142" s="36">
        <f>IF(ISERROR(VLOOKUP(B142,'START LİSTE'!$B$6:$F$1253,4,0)),"",VLOOKUP(B142,'START LİSTE'!$B$6:$F$1253,4,0))</f>
      </c>
      <c r="F142" s="37">
        <f>IF(ISERROR(VLOOKUP($B142,'START LİSTE'!$B$6:$F$1253,5,0)),"",VLOOKUP($B142,'START LİSTE'!$B$6:$F$1253,5,0))</f>
      </c>
      <c r="G142" s="103"/>
      <c r="H142" s="135">
        <f t="shared" si="5"/>
      </c>
    </row>
    <row r="143" spans="1:8" ht="17.25" customHeight="1">
      <c r="A143" s="34">
        <f t="shared" si="4"/>
      </c>
      <c r="B143" s="102"/>
      <c r="C143" s="35">
        <f>IF(ISERROR(VLOOKUP(B143,'START LİSTE'!$B$6:$F$1253,2,0)),"",VLOOKUP(B143,'START LİSTE'!$B$6:$F$1253,2,0))</f>
      </c>
      <c r="D143" s="35">
        <f>IF(ISERROR(VLOOKUP(B143,'START LİSTE'!$B$6:$F$1253,3,0)),"",VLOOKUP(B143,'START LİSTE'!$B$6:$F$1253,3,0))</f>
      </c>
      <c r="E143" s="36">
        <f>IF(ISERROR(VLOOKUP(B143,'START LİSTE'!$B$6:$F$1253,4,0)),"",VLOOKUP(B143,'START LİSTE'!$B$6:$F$1253,4,0))</f>
      </c>
      <c r="F143" s="37">
        <f>IF(ISERROR(VLOOKUP($B143,'START LİSTE'!$B$6:$F$1253,5,0)),"",VLOOKUP($B143,'START LİSTE'!$B$6:$F$1253,5,0))</f>
      </c>
      <c r="G143" s="103"/>
      <c r="H143" s="135">
        <f t="shared" si="5"/>
      </c>
    </row>
    <row r="144" spans="1:8" ht="17.25" customHeight="1">
      <c r="A144" s="34">
        <f t="shared" si="4"/>
      </c>
      <c r="B144" s="102"/>
      <c r="C144" s="35">
        <f>IF(ISERROR(VLOOKUP(B144,'START LİSTE'!$B$6:$F$1253,2,0)),"",VLOOKUP(B144,'START LİSTE'!$B$6:$F$1253,2,0))</f>
      </c>
      <c r="D144" s="35">
        <f>IF(ISERROR(VLOOKUP(B144,'START LİSTE'!$B$6:$F$1253,3,0)),"",VLOOKUP(B144,'START LİSTE'!$B$6:$F$1253,3,0))</f>
      </c>
      <c r="E144" s="36">
        <f>IF(ISERROR(VLOOKUP(B144,'START LİSTE'!$B$6:$F$1253,4,0)),"",VLOOKUP(B144,'START LİSTE'!$B$6:$F$1253,4,0))</f>
      </c>
      <c r="F144" s="37">
        <f>IF(ISERROR(VLOOKUP($B144,'START LİSTE'!$B$6:$F$1253,5,0)),"",VLOOKUP($B144,'START LİSTE'!$B$6:$F$1253,5,0))</f>
      </c>
      <c r="G144" s="103"/>
      <c r="H144" s="135">
        <f t="shared" si="5"/>
      </c>
    </row>
    <row r="145" spans="1:8" ht="17.25" customHeight="1">
      <c r="A145" s="34">
        <f t="shared" si="4"/>
      </c>
      <c r="B145" s="102"/>
      <c r="C145" s="35">
        <f>IF(ISERROR(VLOOKUP(B145,'START LİSTE'!$B$6:$F$1253,2,0)),"",VLOOKUP(B145,'START LİSTE'!$B$6:$F$1253,2,0))</f>
      </c>
      <c r="D145" s="35">
        <f>IF(ISERROR(VLOOKUP(B145,'START LİSTE'!$B$6:$F$1253,3,0)),"",VLOOKUP(B145,'START LİSTE'!$B$6:$F$1253,3,0))</f>
      </c>
      <c r="E145" s="36">
        <f>IF(ISERROR(VLOOKUP(B145,'START LİSTE'!$B$6:$F$1253,4,0)),"",VLOOKUP(B145,'START LİSTE'!$B$6:$F$1253,4,0))</f>
      </c>
      <c r="F145" s="37">
        <f>IF(ISERROR(VLOOKUP($B145,'START LİSTE'!$B$6:$F$1253,5,0)),"",VLOOKUP($B145,'START LİSTE'!$B$6:$F$1253,5,0))</f>
      </c>
      <c r="G145" s="103"/>
      <c r="H145" s="135">
        <f t="shared" si="5"/>
      </c>
    </row>
    <row r="146" spans="1:8" ht="17.25" customHeight="1">
      <c r="A146" s="34">
        <f t="shared" si="4"/>
      </c>
      <c r="B146" s="102"/>
      <c r="C146" s="35">
        <f>IF(ISERROR(VLOOKUP(B146,'START LİSTE'!$B$6:$F$1253,2,0)),"",VLOOKUP(B146,'START LİSTE'!$B$6:$F$1253,2,0))</f>
      </c>
      <c r="D146" s="35">
        <f>IF(ISERROR(VLOOKUP(B146,'START LİSTE'!$B$6:$F$1253,3,0)),"",VLOOKUP(B146,'START LİSTE'!$B$6:$F$1253,3,0))</f>
      </c>
      <c r="E146" s="36">
        <f>IF(ISERROR(VLOOKUP(B146,'START LİSTE'!$B$6:$F$1253,4,0)),"",VLOOKUP(B146,'START LİSTE'!$B$6:$F$1253,4,0))</f>
      </c>
      <c r="F146" s="37">
        <f>IF(ISERROR(VLOOKUP($B146,'START LİSTE'!$B$6:$F$1253,5,0)),"",VLOOKUP($B146,'START LİSTE'!$B$6:$F$1253,5,0))</f>
      </c>
      <c r="G146" s="103"/>
      <c r="H146" s="135">
        <f t="shared" si="5"/>
      </c>
    </row>
    <row r="147" spans="1:8" ht="17.25" customHeight="1">
      <c r="A147" s="34">
        <f t="shared" si="4"/>
      </c>
      <c r="B147" s="102"/>
      <c r="C147" s="35">
        <f>IF(ISERROR(VLOOKUP(B147,'START LİSTE'!$B$6:$F$1253,2,0)),"",VLOOKUP(B147,'START LİSTE'!$B$6:$F$1253,2,0))</f>
      </c>
      <c r="D147" s="35">
        <f>IF(ISERROR(VLOOKUP(B147,'START LİSTE'!$B$6:$F$1253,3,0)),"",VLOOKUP(B147,'START LİSTE'!$B$6:$F$1253,3,0))</f>
      </c>
      <c r="E147" s="36">
        <f>IF(ISERROR(VLOOKUP(B147,'START LİSTE'!$B$6:$F$1253,4,0)),"",VLOOKUP(B147,'START LİSTE'!$B$6:$F$1253,4,0))</f>
      </c>
      <c r="F147" s="37">
        <f>IF(ISERROR(VLOOKUP($B147,'START LİSTE'!$B$6:$F$1253,5,0)),"",VLOOKUP($B147,'START LİSTE'!$B$6:$F$1253,5,0))</f>
      </c>
      <c r="G147" s="103"/>
      <c r="H147" s="135">
        <f t="shared" si="5"/>
      </c>
    </row>
    <row r="148" spans="1:8" ht="17.25" customHeight="1">
      <c r="A148" s="34">
        <f t="shared" si="4"/>
      </c>
      <c r="B148" s="102"/>
      <c r="C148" s="35">
        <f>IF(ISERROR(VLOOKUP(B148,'START LİSTE'!$B$6:$F$1253,2,0)),"",VLOOKUP(B148,'START LİSTE'!$B$6:$F$1253,2,0))</f>
      </c>
      <c r="D148" s="35">
        <f>IF(ISERROR(VLOOKUP(B148,'START LİSTE'!$B$6:$F$1253,3,0)),"",VLOOKUP(B148,'START LİSTE'!$B$6:$F$1253,3,0))</f>
      </c>
      <c r="E148" s="36">
        <f>IF(ISERROR(VLOOKUP(B148,'START LİSTE'!$B$6:$F$1253,4,0)),"",VLOOKUP(B148,'START LİSTE'!$B$6:$F$1253,4,0))</f>
      </c>
      <c r="F148" s="37">
        <f>IF(ISERROR(VLOOKUP($B148,'START LİSTE'!$B$6:$F$1253,5,0)),"",VLOOKUP($B148,'START LİSTE'!$B$6:$F$1253,5,0))</f>
      </c>
      <c r="G148" s="103"/>
      <c r="H148" s="135">
        <f t="shared" si="5"/>
      </c>
    </row>
    <row r="149" spans="1:8" ht="17.25" customHeight="1">
      <c r="A149" s="34">
        <f t="shared" si="4"/>
      </c>
      <c r="B149" s="102"/>
      <c r="C149" s="35">
        <f>IF(ISERROR(VLOOKUP(B149,'START LİSTE'!$B$6:$F$1253,2,0)),"",VLOOKUP(B149,'START LİSTE'!$B$6:$F$1253,2,0))</f>
      </c>
      <c r="D149" s="35">
        <f>IF(ISERROR(VLOOKUP(B149,'START LİSTE'!$B$6:$F$1253,3,0)),"",VLOOKUP(B149,'START LİSTE'!$B$6:$F$1253,3,0))</f>
      </c>
      <c r="E149" s="36">
        <f>IF(ISERROR(VLOOKUP(B149,'START LİSTE'!$B$6:$F$1253,4,0)),"",VLOOKUP(B149,'START LİSTE'!$B$6:$F$1253,4,0))</f>
      </c>
      <c r="F149" s="37">
        <f>IF(ISERROR(VLOOKUP($B149,'START LİSTE'!$B$6:$F$1253,5,0)),"",VLOOKUP($B149,'START LİSTE'!$B$6:$F$1253,5,0))</f>
      </c>
      <c r="G149" s="103"/>
      <c r="H149" s="135">
        <f t="shared" si="5"/>
      </c>
    </row>
    <row r="150" spans="1:8" ht="17.25" customHeight="1">
      <c r="A150" s="34">
        <f t="shared" si="4"/>
      </c>
      <c r="B150" s="102"/>
      <c r="C150" s="35">
        <f>IF(ISERROR(VLOOKUP(B150,'START LİSTE'!$B$6:$F$1253,2,0)),"",VLOOKUP(B150,'START LİSTE'!$B$6:$F$1253,2,0))</f>
      </c>
      <c r="D150" s="35">
        <f>IF(ISERROR(VLOOKUP(B150,'START LİSTE'!$B$6:$F$1253,3,0)),"",VLOOKUP(B150,'START LİSTE'!$B$6:$F$1253,3,0))</f>
      </c>
      <c r="E150" s="36">
        <f>IF(ISERROR(VLOOKUP(B150,'START LİSTE'!$B$6:$F$1253,4,0)),"",VLOOKUP(B150,'START LİSTE'!$B$6:$F$1253,4,0))</f>
      </c>
      <c r="F150" s="37">
        <f>IF(ISERROR(VLOOKUP($B150,'START LİSTE'!$B$6:$F$1253,5,0)),"",VLOOKUP($B150,'START LİSTE'!$B$6:$F$1253,5,0))</f>
      </c>
      <c r="G150" s="103"/>
      <c r="H150" s="135">
        <f t="shared" si="5"/>
      </c>
    </row>
    <row r="151" spans="1:8" ht="17.25" customHeight="1">
      <c r="A151" s="34">
        <f t="shared" si="4"/>
      </c>
      <c r="B151" s="102"/>
      <c r="C151" s="35">
        <f>IF(ISERROR(VLOOKUP(B151,'START LİSTE'!$B$6:$F$1253,2,0)),"",VLOOKUP(B151,'START LİSTE'!$B$6:$F$1253,2,0))</f>
      </c>
      <c r="D151" s="35">
        <f>IF(ISERROR(VLOOKUP(B151,'START LİSTE'!$B$6:$F$1253,3,0)),"",VLOOKUP(B151,'START LİSTE'!$B$6:$F$1253,3,0))</f>
      </c>
      <c r="E151" s="36">
        <f>IF(ISERROR(VLOOKUP(B151,'START LİSTE'!$B$6:$F$1253,4,0)),"",VLOOKUP(B151,'START LİSTE'!$B$6:$F$1253,4,0))</f>
      </c>
      <c r="F151" s="37">
        <f>IF(ISERROR(VLOOKUP($B151,'START LİSTE'!$B$6:$F$1253,5,0)),"",VLOOKUP($B151,'START LİSTE'!$B$6:$F$1253,5,0))</f>
      </c>
      <c r="G151" s="103"/>
      <c r="H151" s="135">
        <f t="shared" si="5"/>
      </c>
    </row>
    <row r="152" spans="1:8" ht="17.25" customHeight="1">
      <c r="A152" s="34">
        <f t="shared" si="4"/>
      </c>
      <c r="B152" s="102"/>
      <c r="C152" s="35">
        <f>IF(ISERROR(VLOOKUP(B152,'START LİSTE'!$B$6:$F$1253,2,0)),"",VLOOKUP(B152,'START LİSTE'!$B$6:$F$1253,2,0))</f>
      </c>
      <c r="D152" s="35">
        <f>IF(ISERROR(VLOOKUP(B152,'START LİSTE'!$B$6:$F$1253,3,0)),"",VLOOKUP(B152,'START LİSTE'!$B$6:$F$1253,3,0))</f>
      </c>
      <c r="E152" s="36">
        <f>IF(ISERROR(VLOOKUP(B152,'START LİSTE'!$B$6:$F$1253,4,0)),"",VLOOKUP(B152,'START LİSTE'!$B$6:$F$1253,4,0))</f>
      </c>
      <c r="F152" s="37">
        <f>IF(ISERROR(VLOOKUP($B152,'START LİSTE'!$B$6:$F$1253,5,0)),"",VLOOKUP($B152,'START LİSTE'!$B$6:$F$1253,5,0))</f>
      </c>
      <c r="G152" s="103"/>
      <c r="H152" s="135">
        <f t="shared" si="5"/>
      </c>
    </row>
    <row r="153" spans="1:8" ht="17.25" customHeight="1">
      <c r="A153" s="34">
        <f t="shared" si="4"/>
      </c>
      <c r="B153" s="102"/>
      <c r="C153" s="35">
        <f>IF(ISERROR(VLOOKUP(B153,'START LİSTE'!$B$6:$F$1253,2,0)),"",VLOOKUP(B153,'START LİSTE'!$B$6:$F$1253,2,0))</f>
      </c>
      <c r="D153" s="35">
        <f>IF(ISERROR(VLOOKUP(B153,'START LİSTE'!$B$6:$F$1253,3,0)),"",VLOOKUP(B153,'START LİSTE'!$B$6:$F$1253,3,0))</f>
      </c>
      <c r="E153" s="36">
        <f>IF(ISERROR(VLOOKUP(B153,'START LİSTE'!$B$6:$F$1253,4,0)),"",VLOOKUP(B153,'START LİSTE'!$B$6:$F$1253,4,0))</f>
      </c>
      <c r="F153" s="37">
        <f>IF(ISERROR(VLOOKUP($B153,'START LİSTE'!$B$6:$F$1253,5,0)),"",VLOOKUP($B153,'START LİSTE'!$B$6:$F$1253,5,0))</f>
      </c>
      <c r="G153" s="103"/>
      <c r="H153" s="135">
        <f t="shared" si="5"/>
      </c>
    </row>
    <row r="154" spans="1:8" ht="17.25" customHeight="1">
      <c r="A154" s="34">
        <f t="shared" si="4"/>
      </c>
      <c r="B154" s="102"/>
      <c r="C154" s="35">
        <f>IF(ISERROR(VLOOKUP(B154,'START LİSTE'!$B$6:$F$1253,2,0)),"",VLOOKUP(B154,'START LİSTE'!$B$6:$F$1253,2,0))</f>
      </c>
      <c r="D154" s="35">
        <f>IF(ISERROR(VLOOKUP(B154,'START LİSTE'!$B$6:$F$1253,3,0)),"",VLOOKUP(B154,'START LİSTE'!$B$6:$F$1253,3,0))</f>
      </c>
      <c r="E154" s="36">
        <f>IF(ISERROR(VLOOKUP(B154,'START LİSTE'!$B$6:$F$1253,4,0)),"",VLOOKUP(B154,'START LİSTE'!$B$6:$F$1253,4,0))</f>
      </c>
      <c r="F154" s="37">
        <f>IF(ISERROR(VLOOKUP($B154,'START LİSTE'!$B$6:$F$1253,5,0)),"",VLOOKUP($B154,'START LİSTE'!$B$6:$F$1253,5,0))</f>
      </c>
      <c r="G154" s="103"/>
      <c r="H154" s="135">
        <f t="shared" si="5"/>
      </c>
    </row>
    <row r="155" spans="1:8" ht="17.25" customHeight="1">
      <c r="A155" s="34">
        <f t="shared" si="4"/>
      </c>
      <c r="B155" s="102"/>
      <c r="C155" s="35">
        <f>IF(ISERROR(VLOOKUP(B155,'START LİSTE'!$B$6:$F$1253,2,0)),"",VLOOKUP(B155,'START LİSTE'!$B$6:$F$1253,2,0))</f>
      </c>
      <c r="D155" s="35">
        <f>IF(ISERROR(VLOOKUP(B155,'START LİSTE'!$B$6:$F$1253,3,0)),"",VLOOKUP(B155,'START LİSTE'!$B$6:$F$1253,3,0))</f>
      </c>
      <c r="E155" s="36">
        <f>IF(ISERROR(VLOOKUP(B155,'START LİSTE'!$B$6:$F$1253,4,0)),"",VLOOKUP(B155,'START LİSTE'!$B$6:$F$1253,4,0))</f>
      </c>
      <c r="F155" s="37">
        <f>IF(ISERROR(VLOOKUP($B155,'START LİSTE'!$B$6:$F$1253,5,0)),"",VLOOKUP($B155,'START LİSTE'!$B$6:$F$1253,5,0))</f>
      </c>
      <c r="G155" s="103"/>
      <c r="H155" s="135">
        <f t="shared" si="5"/>
      </c>
    </row>
    <row r="156" spans="1:8" ht="17.25" customHeight="1">
      <c r="A156" s="34">
        <f t="shared" si="4"/>
      </c>
      <c r="B156" s="102"/>
      <c r="C156" s="35">
        <f>IF(ISERROR(VLOOKUP(B156,'START LİSTE'!$B$6:$F$1253,2,0)),"",VLOOKUP(B156,'START LİSTE'!$B$6:$F$1253,2,0))</f>
      </c>
      <c r="D156" s="35">
        <f>IF(ISERROR(VLOOKUP(B156,'START LİSTE'!$B$6:$F$1253,3,0)),"",VLOOKUP(B156,'START LİSTE'!$B$6:$F$1253,3,0))</f>
      </c>
      <c r="E156" s="36">
        <f>IF(ISERROR(VLOOKUP(B156,'START LİSTE'!$B$6:$F$1253,4,0)),"",VLOOKUP(B156,'START LİSTE'!$B$6:$F$1253,4,0))</f>
      </c>
      <c r="F156" s="37">
        <f>IF(ISERROR(VLOOKUP($B156,'START LİSTE'!$B$6:$F$1253,5,0)),"",VLOOKUP($B156,'START LİSTE'!$B$6:$F$1253,5,0))</f>
      </c>
      <c r="G156" s="103"/>
      <c r="H156" s="135">
        <f t="shared" si="5"/>
      </c>
    </row>
    <row r="157" spans="1:8" ht="17.25" customHeight="1">
      <c r="A157" s="34">
        <f t="shared" si="4"/>
      </c>
      <c r="B157" s="102"/>
      <c r="C157" s="35">
        <f>IF(ISERROR(VLOOKUP(B157,'START LİSTE'!$B$6:$F$1253,2,0)),"",VLOOKUP(B157,'START LİSTE'!$B$6:$F$1253,2,0))</f>
      </c>
      <c r="D157" s="35">
        <f>IF(ISERROR(VLOOKUP(B157,'START LİSTE'!$B$6:$F$1253,3,0)),"",VLOOKUP(B157,'START LİSTE'!$B$6:$F$1253,3,0))</f>
      </c>
      <c r="E157" s="36">
        <f>IF(ISERROR(VLOOKUP(B157,'START LİSTE'!$B$6:$F$1253,4,0)),"",VLOOKUP(B157,'START LİSTE'!$B$6:$F$1253,4,0))</f>
      </c>
      <c r="F157" s="37">
        <f>IF(ISERROR(VLOOKUP($B157,'START LİSTE'!$B$6:$F$1253,5,0)),"",VLOOKUP($B157,'START LİSTE'!$B$6:$F$1253,5,0))</f>
      </c>
      <c r="G157" s="103"/>
      <c r="H157" s="135">
        <f t="shared" si="5"/>
      </c>
    </row>
    <row r="158" spans="1:8" ht="17.25" customHeight="1">
      <c r="A158" s="34">
        <f t="shared" si="4"/>
      </c>
      <c r="B158" s="102"/>
      <c r="C158" s="35">
        <f>IF(ISERROR(VLOOKUP(B158,'START LİSTE'!$B$6:$F$1253,2,0)),"",VLOOKUP(B158,'START LİSTE'!$B$6:$F$1253,2,0))</f>
      </c>
      <c r="D158" s="35">
        <f>IF(ISERROR(VLOOKUP(B158,'START LİSTE'!$B$6:$F$1253,3,0)),"",VLOOKUP(B158,'START LİSTE'!$B$6:$F$1253,3,0))</f>
      </c>
      <c r="E158" s="36">
        <f>IF(ISERROR(VLOOKUP(B158,'START LİSTE'!$B$6:$F$1253,4,0)),"",VLOOKUP(B158,'START LİSTE'!$B$6:$F$1253,4,0))</f>
      </c>
      <c r="F158" s="37">
        <f>IF(ISERROR(VLOOKUP($B158,'START LİSTE'!$B$6:$F$1253,5,0)),"",VLOOKUP($B158,'START LİSTE'!$B$6:$F$1253,5,0))</f>
      </c>
      <c r="G158" s="103"/>
      <c r="H158" s="135">
        <f t="shared" si="5"/>
      </c>
    </row>
    <row r="159" spans="1:8" ht="17.25" customHeight="1">
      <c r="A159" s="34">
        <f t="shared" si="4"/>
      </c>
      <c r="B159" s="102"/>
      <c r="C159" s="35">
        <f>IF(ISERROR(VLOOKUP(B159,'START LİSTE'!$B$6:$F$1253,2,0)),"",VLOOKUP(B159,'START LİSTE'!$B$6:$F$1253,2,0))</f>
      </c>
      <c r="D159" s="35">
        <f>IF(ISERROR(VLOOKUP(B159,'START LİSTE'!$B$6:$F$1253,3,0)),"",VLOOKUP(B159,'START LİSTE'!$B$6:$F$1253,3,0))</f>
      </c>
      <c r="E159" s="36">
        <f>IF(ISERROR(VLOOKUP(B159,'START LİSTE'!$B$6:$F$1253,4,0)),"",VLOOKUP(B159,'START LİSTE'!$B$6:$F$1253,4,0))</f>
      </c>
      <c r="F159" s="37">
        <f>IF(ISERROR(VLOOKUP($B159,'START LİSTE'!$B$6:$F$1253,5,0)),"",VLOOKUP($B159,'START LİSTE'!$B$6:$F$1253,5,0))</f>
      </c>
      <c r="G159" s="103"/>
      <c r="H159" s="135">
        <f t="shared" si="5"/>
      </c>
    </row>
    <row r="160" spans="1:8" ht="17.25" customHeight="1">
      <c r="A160" s="34">
        <f t="shared" si="4"/>
      </c>
      <c r="B160" s="102"/>
      <c r="C160" s="35">
        <f>IF(ISERROR(VLOOKUP(B160,'START LİSTE'!$B$6:$F$1253,2,0)),"",VLOOKUP(B160,'START LİSTE'!$B$6:$F$1253,2,0))</f>
      </c>
      <c r="D160" s="35">
        <f>IF(ISERROR(VLOOKUP(B160,'START LİSTE'!$B$6:$F$1253,3,0)),"",VLOOKUP(B160,'START LİSTE'!$B$6:$F$1253,3,0))</f>
      </c>
      <c r="E160" s="36">
        <f>IF(ISERROR(VLOOKUP(B160,'START LİSTE'!$B$6:$F$1253,4,0)),"",VLOOKUP(B160,'START LİSTE'!$B$6:$F$1253,4,0))</f>
      </c>
      <c r="F160" s="37">
        <f>IF(ISERROR(VLOOKUP($B160,'START LİSTE'!$B$6:$F$1253,5,0)),"",VLOOKUP($B160,'START LİSTE'!$B$6:$F$1253,5,0))</f>
      </c>
      <c r="G160" s="103"/>
      <c r="H160" s="135">
        <f t="shared" si="5"/>
      </c>
    </row>
    <row r="161" spans="1:8" ht="17.25" customHeight="1">
      <c r="A161" s="34">
        <f t="shared" si="4"/>
      </c>
      <c r="B161" s="102"/>
      <c r="C161" s="35">
        <f>IF(ISERROR(VLOOKUP(B161,'START LİSTE'!$B$6:$F$1253,2,0)),"",VLOOKUP(B161,'START LİSTE'!$B$6:$F$1253,2,0))</f>
      </c>
      <c r="D161" s="35">
        <f>IF(ISERROR(VLOOKUP(B161,'START LİSTE'!$B$6:$F$1253,3,0)),"",VLOOKUP(B161,'START LİSTE'!$B$6:$F$1253,3,0))</f>
      </c>
      <c r="E161" s="36">
        <f>IF(ISERROR(VLOOKUP(B161,'START LİSTE'!$B$6:$F$1253,4,0)),"",VLOOKUP(B161,'START LİSTE'!$B$6:$F$1253,4,0))</f>
      </c>
      <c r="F161" s="37">
        <f>IF(ISERROR(VLOOKUP($B161,'START LİSTE'!$B$6:$F$1253,5,0)),"",VLOOKUP($B161,'START LİSTE'!$B$6:$F$1253,5,0))</f>
      </c>
      <c r="G161" s="103"/>
      <c r="H161" s="135">
        <f t="shared" si="5"/>
      </c>
    </row>
    <row r="162" spans="1:8" ht="17.25" customHeight="1">
      <c r="A162" s="34">
        <f t="shared" si="4"/>
      </c>
      <c r="B162" s="102"/>
      <c r="C162" s="35">
        <f>IF(ISERROR(VLOOKUP(B162,'START LİSTE'!$B$6:$F$1253,2,0)),"",VLOOKUP(B162,'START LİSTE'!$B$6:$F$1253,2,0))</f>
      </c>
      <c r="D162" s="35">
        <f>IF(ISERROR(VLOOKUP(B162,'START LİSTE'!$B$6:$F$1253,3,0)),"",VLOOKUP(B162,'START LİSTE'!$B$6:$F$1253,3,0))</f>
      </c>
      <c r="E162" s="36">
        <f>IF(ISERROR(VLOOKUP(B162,'START LİSTE'!$B$6:$F$1253,4,0)),"",VLOOKUP(B162,'START LİSTE'!$B$6:$F$1253,4,0))</f>
      </c>
      <c r="F162" s="37">
        <f>IF(ISERROR(VLOOKUP($B162,'START LİSTE'!$B$6:$F$1253,5,0)),"",VLOOKUP($B162,'START LİSTE'!$B$6:$F$1253,5,0))</f>
      </c>
      <c r="G162" s="103"/>
      <c r="H162" s="135">
        <f t="shared" si="5"/>
      </c>
    </row>
    <row r="163" spans="1:8" ht="17.25" customHeight="1">
      <c r="A163" s="34">
        <f t="shared" si="4"/>
      </c>
      <c r="B163" s="102"/>
      <c r="C163" s="35">
        <f>IF(ISERROR(VLOOKUP(B163,'START LİSTE'!$B$6:$F$1253,2,0)),"",VLOOKUP(B163,'START LİSTE'!$B$6:$F$1253,2,0))</f>
      </c>
      <c r="D163" s="35">
        <f>IF(ISERROR(VLOOKUP(B163,'START LİSTE'!$B$6:$F$1253,3,0)),"",VLOOKUP(B163,'START LİSTE'!$B$6:$F$1253,3,0))</f>
      </c>
      <c r="E163" s="36">
        <f>IF(ISERROR(VLOOKUP(B163,'START LİSTE'!$B$6:$F$1253,4,0)),"",VLOOKUP(B163,'START LİSTE'!$B$6:$F$1253,4,0))</f>
      </c>
      <c r="F163" s="37">
        <f>IF(ISERROR(VLOOKUP($B163,'START LİSTE'!$B$6:$F$1253,5,0)),"",VLOOKUP($B163,'START LİSTE'!$B$6:$F$1253,5,0))</f>
      </c>
      <c r="G163" s="103"/>
      <c r="H163" s="135">
        <f t="shared" si="5"/>
      </c>
    </row>
    <row r="164" spans="1:8" ht="17.25" customHeight="1">
      <c r="A164" s="34">
        <f t="shared" si="4"/>
      </c>
      <c r="B164" s="102"/>
      <c r="C164" s="35">
        <f>IF(ISERROR(VLOOKUP(B164,'START LİSTE'!$B$6:$F$1253,2,0)),"",VLOOKUP(B164,'START LİSTE'!$B$6:$F$1253,2,0))</f>
      </c>
      <c r="D164" s="35">
        <f>IF(ISERROR(VLOOKUP(B164,'START LİSTE'!$B$6:$F$1253,3,0)),"",VLOOKUP(B164,'START LİSTE'!$B$6:$F$1253,3,0))</f>
      </c>
      <c r="E164" s="36">
        <f>IF(ISERROR(VLOOKUP(B164,'START LİSTE'!$B$6:$F$1253,4,0)),"",VLOOKUP(B164,'START LİSTE'!$B$6:$F$1253,4,0))</f>
      </c>
      <c r="F164" s="37">
        <f>IF(ISERROR(VLOOKUP($B164,'START LİSTE'!$B$6:$F$1253,5,0)),"",VLOOKUP($B164,'START LİSTE'!$B$6:$F$1253,5,0))</f>
      </c>
      <c r="G164" s="103"/>
      <c r="H164" s="135">
        <f t="shared" si="5"/>
      </c>
    </row>
    <row r="165" spans="1:8" ht="17.25" customHeight="1">
      <c r="A165" s="34">
        <f t="shared" si="4"/>
      </c>
      <c r="B165" s="102"/>
      <c r="C165" s="35">
        <f>IF(ISERROR(VLOOKUP(B165,'START LİSTE'!$B$6:$F$1253,2,0)),"",VLOOKUP(B165,'START LİSTE'!$B$6:$F$1253,2,0))</f>
      </c>
      <c r="D165" s="35">
        <f>IF(ISERROR(VLOOKUP(B165,'START LİSTE'!$B$6:$F$1253,3,0)),"",VLOOKUP(B165,'START LİSTE'!$B$6:$F$1253,3,0))</f>
      </c>
      <c r="E165" s="36">
        <f>IF(ISERROR(VLOOKUP(B165,'START LİSTE'!$B$6:$F$1253,4,0)),"",VLOOKUP(B165,'START LİSTE'!$B$6:$F$1253,4,0))</f>
      </c>
      <c r="F165" s="37">
        <f>IF(ISERROR(VLOOKUP($B165,'START LİSTE'!$B$6:$F$1253,5,0)),"",VLOOKUP($B165,'START LİSTE'!$B$6:$F$1253,5,0))</f>
      </c>
      <c r="G165" s="103"/>
      <c r="H165" s="135">
        <f t="shared" si="5"/>
      </c>
    </row>
    <row r="166" spans="1:8" ht="17.25" customHeight="1">
      <c r="A166" s="34">
        <f t="shared" si="4"/>
      </c>
      <c r="B166" s="102"/>
      <c r="C166" s="35">
        <f>IF(ISERROR(VLOOKUP(B166,'START LİSTE'!$B$6:$F$1253,2,0)),"",VLOOKUP(B166,'START LİSTE'!$B$6:$F$1253,2,0))</f>
      </c>
      <c r="D166" s="35">
        <f>IF(ISERROR(VLOOKUP(B166,'START LİSTE'!$B$6:$F$1253,3,0)),"",VLOOKUP(B166,'START LİSTE'!$B$6:$F$1253,3,0))</f>
      </c>
      <c r="E166" s="36">
        <f>IF(ISERROR(VLOOKUP(B166,'START LİSTE'!$B$6:$F$1253,4,0)),"",VLOOKUP(B166,'START LİSTE'!$B$6:$F$1253,4,0))</f>
      </c>
      <c r="F166" s="37">
        <f>IF(ISERROR(VLOOKUP($B166,'START LİSTE'!$B$6:$F$1253,5,0)),"",VLOOKUP($B166,'START LİSTE'!$B$6:$F$1253,5,0))</f>
      </c>
      <c r="G166" s="103"/>
      <c r="H166" s="135">
        <f t="shared" si="5"/>
      </c>
    </row>
    <row r="167" spans="1:8" ht="17.25" customHeight="1">
      <c r="A167" s="34">
        <f t="shared" si="4"/>
      </c>
      <c r="B167" s="102"/>
      <c r="C167" s="35">
        <f>IF(ISERROR(VLOOKUP(B167,'START LİSTE'!$B$6:$F$1253,2,0)),"",VLOOKUP(B167,'START LİSTE'!$B$6:$F$1253,2,0))</f>
      </c>
      <c r="D167" s="35">
        <f>IF(ISERROR(VLOOKUP(B167,'START LİSTE'!$B$6:$F$1253,3,0)),"",VLOOKUP(B167,'START LİSTE'!$B$6:$F$1253,3,0))</f>
      </c>
      <c r="E167" s="36">
        <f>IF(ISERROR(VLOOKUP(B167,'START LİSTE'!$B$6:$F$1253,4,0)),"",VLOOKUP(B167,'START LİSTE'!$B$6:$F$1253,4,0))</f>
      </c>
      <c r="F167" s="37">
        <f>IF(ISERROR(VLOOKUP($B167,'START LİSTE'!$B$6:$F$1253,5,0)),"",VLOOKUP($B167,'START LİSTE'!$B$6:$F$1253,5,0))</f>
      </c>
      <c r="G167" s="103"/>
      <c r="H167" s="135">
        <f t="shared" si="5"/>
      </c>
    </row>
    <row r="168" spans="1:8" ht="17.25" customHeight="1">
      <c r="A168" s="34">
        <f t="shared" si="4"/>
      </c>
      <c r="B168" s="102"/>
      <c r="C168" s="35">
        <f>IF(ISERROR(VLOOKUP(B168,'START LİSTE'!$B$6:$F$1253,2,0)),"",VLOOKUP(B168,'START LİSTE'!$B$6:$F$1253,2,0))</f>
      </c>
      <c r="D168" s="35">
        <f>IF(ISERROR(VLOOKUP(B168,'START LİSTE'!$B$6:$F$1253,3,0)),"",VLOOKUP(B168,'START LİSTE'!$B$6:$F$1253,3,0))</f>
      </c>
      <c r="E168" s="36">
        <f>IF(ISERROR(VLOOKUP(B168,'START LİSTE'!$B$6:$F$1253,4,0)),"",VLOOKUP(B168,'START LİSTE'!$B$6:$F$1253,4,0))</f>
      </c>
      <c r="F168" s="37">
        <f>IF(ISERROR(VLOOKUP($B168,'START LİSTE'!$B$6:$F$1253,5,0)),"",VLOOKUP($B168,'START LİSTE'!$B$6:$F$1253,5,0))</f>
      </c>
      <c r="G168" s="103"/>
      <c r="H168" s="135">
        <f t="shared" si="5"/>
      </c>
    </row>
    <row r="169" spans="1:8" ht="17.25" customHeight="1">
      <c r="A169" s="34">
        <f t="shared" si="4"/>
      </c>
      <c r="B169" s="102"/>
      <c r="C169" s="35">
        <f>IF(ISERROR(VLOOKUP(B169,'START LİSTE'!$B$6:$F$1253,2,0)),"",VLOOKUP(B169,'START LİSTE'!$B$6:$F$1253,2,0))</f>
      </c>
      <c r="D169" s="35">
        <f>IF(ISERROR(VLOOKUP(B169,'START LİSTE'!$B$6:$F$1253,3,0)),"",VLOOKUP(B169,'START LİSTE'!$B$6:$F$1253,3,0))</f>
      </c>
      <c r="E169" s="36">
        <f>IF(ISERROR(VLOOKUP(B169,'START LİSTE'!$B$6:$F$1253,4,0)),"",VLOOKUP(B169,'START LİSTE'!$B$6:$F$1253,4,0))</f>
      </c>
      <c r="F169" s="37">
        <f>IF(ISERROR(VLOOKUP($B169,'START LİSTE'!$B$6:$F$1253,5,0)),"",VLOOKUP($B169,'START LİSTE'!$B$6:$F$1253,5,0))</f>
      </c>
      <c r="G169" s="103"/>
      <c r="H169" s="135">
        <f t="shared" si="5"/>
      </c>
    </row>
    <row r="170" spans="1:8" ht="17.25" customHeight="1">
      <c r="A170" s="34">
        <f t="shared" si="4"/>
      </c>
      <c r="B170" s="102"/>
      <c r="C170" s="35">
        <f>IF(ISERROR(VLOOKUP(B170,'START LİSTE'!$B$6:$F$1253,2,0)),"",VLOOKUP(B170,'START LİSTE'!$B$6:$F$1253,2,0))</f>
      </c>
      <c r="D170" s="35">
        <f>IF(ISERROR(VLOOKUP(B170,'START LİSTE'!$B$6:$F$1253,3,0)),"",VLOOKUP(B170,'START LİSTE'!$B$6:$F$1253,3,0))</f>
      </c>
      <c r="E170" s="36">
        <f>IF(ISERROR(VLOOKUP(B170,'START LİSTE'!$B$6:$F$1253,4,0)),"",VLOOKUP(B170,'START LİSTE'!$B$6:$F$1253,4,0))</f>
      </c>
      <c r="F170" s="37">
        <f>IF(ISERROR(VLOOKUP($B170,'START LİSTE'!$B$6:$F$1253,5,0)),"",VLOOKUP($B170,'START LİSTE'!$B$6:$F$1253,5,0))</f>
      </c>
      <c r="G170" s="103"/>
      <c r="H170" s="135">
        <f t="shared" si="5"/>
      </c>
    </row>
    <row r="171" spans="1:8" ht="17.25" customHeight="1">
      <c r="A171" s="34">
        <f t="shared" si="4"/>
      </c>
      <c r="B171" s="102"/>
      <c r="C171" s="35">
        <f>IF(ISERROR(VLOOKUP(B171,'START LİSTE'!$B$6:$F$1253,2,0)),"",VLOOKUP(B171,'START LİSTE'!$B$6:$F$1253,2,0))</f>
      </c>
      <c r="D171" s="35">
        <f>IF(ISERROR(VLOOKUP(B171,'START LİSTE'!$B$6:$F$1253,3,0)),"",VLOOKUP(B171,'START LİSTE'!$B$6:$F$1253,3,0))</f>
      </c>
      <c r="E171" s="36">
        <f>IF(ISERROR(VLOOKUP(B171,'START LİSTE'!$B$6:$F$1253,4,0)),"",VLOOKUP(B171,'START LİSTE'!$B$6:$F$1253,4,0))</f>
      </c>
      <c r="F171" s="37">
        <f>IF(ISERROR(VLOOKUP($B171,'START LİSTE'!$B$6:$F$1253,5,0)),"",VLOOKUP($B171,'START LİSTE'!$B$6:$F$1253,5,0))</f>
      </c>
      <c r="G171" s="103"/>
      <c r="H171" s="135">
        <f t="shared" si="5"/>
      </c>
    </row>
    <row r="172" spans="1:8" ht="17.25" customHeight="1">
      <c r="A172" s="34">
        <f t="shared" si="4"/>
      </c>
      <c r="B172" s="102"/>
      <c r="C172" s="35">
        <f>IF(ISERROR(VLOOKUP(B172,'START LİSTE'!$B$6:$F$1253,2,0)),"",VLOOKUP(B172,'START LİSTE'!$B$6:$F$1253,2,0))</f>
      </c>
      <c r="D172" s="35">
        <f>IF(ISERROR(VLOOKUP(B172,'START LİSTE'!$B$6:$F$1253,3,0)),"",VLOOKUP(B172,'START LİSTE'!$B$6:$F$1253,3,0))</f>
      </c>
      <c r="E172" s="36">
        <f>IF(ISERROR(VLOOKUP(B172,'START LİSTE'!$B$6:$F$1253,4,0)),"",VLOOKUP(B172,'START LİSTE'!$B$6:$F$1253,4,0))</f>
      </c>
      <c r="F172" s="37">
        <f>IF(ISERROR(VLOOKUP($B172,'START LİSTE'!$B$6:$F$1253,5,0)),"",VLOOKUP($B172,'START LİSTE'!$B$6:$F$1253,5,0))</f>
      </c>
      <c r="G172" s="103"/>
      <c r="H172" s="135">
        <f t="shared" si="5"/>
      </c>
    </row>
    <row r="173" spans="1:8" ht="17.25" customHeight="1">
      <c r="A173" s="34">
        <f t="shared" si="4"/>
      </c>
      <c r="B173" s="102"/>
      <c r="C173" s="35">
        <f>IF(ISERROR(VLOOKUP(B173,'START LİSTE'!$B$6:$F$1253,2,0)),"",VLOOKUP(B173,'START LİSTE'!$B$6:$F$1253,2,0))</f>
      </c>
      <c r="D173" s="35">
        <f>IF(ISERROR(VLOOKUP(B173,'START LİSTE'!$B$6:$F$1253,3,0)),"",VLOOKUP(B173,'START LİSTE'!$B$6:$F$1253,3,0))</f>
      </c>
      <c r="E173" s="36">
        <f>IF(ISERROR(VLOOKUP(B173,'START LİSTE'!$B$6:$F$1253,4,0)),"",VLOOKUP(B173,'START LİSTE'!$B$6:$F$1253,4,0))</f>
      </c>
      <c r="F173" s="37">
        <f>IF(ISERROR(VLOOKUP($B173,'START LİSTE'!$B$6:$F$1253,5,0)),"",VLOOKUP($B173,'START LİSTE'!$B$6:$F$1253,5,0))</f>
      </c>
      <c r="G173" s="103"/>
      <c r="H173" s="135">
        <f t="shared" si="5"/>
      </c>
    </row>
    <row r="174" spans="1:8" ht="17.25" customHeight="1">
      <c r="A174" s="34">
        <f t="shared" si="4"/>
      </c>
      <c r="B174" s="102"/>
      <c r="C174" s="35">
        <f>IF(ISERROR(VLOOKUP(B174,'START LİSTE'!$B$6:$F$1253,2,0)),"",VLOOKUP(B174,'START LİSTE'!$B$6:$F$1253,2,0))</f>
      </c>
      <c r="D174" s="35">
        <f>IF(ISERROR(VLOOKUP(B174,'START LİSTE'!$B$6:$F$1253,3,0)),"",VLOOKUP(B174,'START LİSTE'!$B$6:$F$1253,3,0))</f>
      </c>
      <c r="E174" s="36">
        <f>IF(ISERROR(VLOOKUP(B174,'START LİSTE'!$B$6:$F$1253,4,0)),"",VLOOKUP(B174,'START LİSTE'!$B$6:$F$1253,4,0))</f>
      </c>
      <c r="F174" s="37">
        <f>IF(ISERROR(VLOOKUP($B174,'START LİSTE'!$B$6:$F$1253,5,0)),"",VLOOKUP($B174,'START LİSTE'!$B$6:$F$1253,5,0))</f>
      </c>
      <c r="G174" s="103"/>
      <c r="H174" s="135">
        <f t="shared" si="5"/>
      </c>
    </row>
    <row r="175" spans="1:8" ht="17.25" customHeight="1">
      <c r="A175" s="34">
        <f t="shared" si="4"/>
      </c>
      <c r="B175" s="102"/>
      <c r="C175" s="35">
        <f>IF(ISERROR(VLOOKUP(B175,'START LİSTE'!$B$6:$F$1253,2,0)),"",VLOOKUP(B175,'START LİSTE'!$B$6:$F$1253,2,0))</f>
      </c>
      <c r="D175" s="35">
        <f>IF(ISERROR(VLOOKUP(B175,'START LİSTE'!$B$6:$F$1253,3,0)),"",VLOOKUP(B175,'START LİSTE'!$B$6:$F$1253,3,0))</f>
      </c>
      <c r="E175" s="36">
        <f>IF(ISERROR(VLOOKUP(B175,'START LİSTE'!$B$6:$F$1253,4,0)),"",VLOOKUP(B175,'START LİSTE'!$B$6:$F$1253,4,0))</f>
      </c>
      <c r="F175" s="37">
        <f>IF(ISERROR(VLOOKUP($B175,'START LİSTE'!$B$6:$F$1253,5,0)),"",VLOOKUP($B175,'START LİSTE'!$B$6:$F$1253,5,0))</f>
      </c>
      <c r="G175" s="103"/>
      <c r="H175" s="135">
        <f t="shared" si="5"/>
      </c>
    </row>
    <row r="176" spans="1:8" ht="17.25" customHeight="1">
      <c r="A176" s="34">
        <f t="shared" si="4"/>
      </c>
      <c r="B176" s="102"/>
      <c r="C176" s="35">
        <f>IF(ISERROR(VLOOKUP(B176,'START LİSTE'!$B$6:$F$1253,2,0)),"",VLOOKUP(B176,'START LİSTE'!$B$6:$F$1253,2,0))</f>
      </c>
      <c r="D176" s="35">
        <f>IF(ISERROR(VLOOKUP(B176,'START LİSTE'!$B$6:$F$1253,3,0)),"",VLOOKUP(B176,'START LİSTE'!$B$6:$F$1253,3,0))</f>
      </c>
      <c r="E176" s="36">
        <f>IF(ISERROR(VLOOKUP(B176,'START LİSTE'!$B$6:$F$1253,4,0)),"",VLOOKUP(B176,'START LİSTE'!$B$6:$F$1253,4,0))</f>
      </c>
      <c r="F176" s="37">
        <f>IF(ISERROR(VLOOKUP($B176,'START LİSTE'!$B$6:$F$1253,5,0)),"",VLOOKUP($B176,'START LİSTE'!$B$6:$F$1253,5,0))</f>
      </c>
      <c r="G176" s="103"/>
      <c r="H176" s="135">
        <f t="shared" si="5"/>
      </c>
    </row>
    <row r="177" spans="1:8" ht="17.25" customHeight="1">
      <c r="A177" s="34">
        <f t="shared" si="4"/>
      </c>
      <c r="B177" s="102"/>
      <c r="C177" s="35">
        <f>IF(ISERROR(VLOOKUP(B177,'START LİSTE'!$B$6:$F$1253,2,0)),"",VLOOKUP(B177,'START LİSTE'!$B$6:$F$1253,2,0))</f>
      </c>
      <c r="D177" s="35">
        <f>IF(ISERROR(VLOOKUP(B177,'START LİSTE'!$B$6:$F$1253,3,0)),"",VLOOKUP(B177,'START LİSTE'!$B$6:$F$1253,3,0))</f>
      </c>
      <c r="E177" s="36">
        <f>IF(ISERROR(VLOOKUP(B177,'START LİSTE'!$B$6:$F$1253,4,0)),"",VLOOKUP(B177,'START LİSTE'!$B$6:$F$1253,4,0))</f>
      </c>
      <c r="F177" s="37">
        <f>IF(ISERROR(VLOOKUP($B177,'START LİSTE'!$B$6:$F$1253,5,0)),"",VLOOKUP($B177,'START LİSTE'!$B$6:$F$1253,5,0))</f>
      </c>
      <c r="G177" s="103"/>
      <c r="H177" s="135">
        <f t="shared" si="5"/>
      </c>
    </row>
    <row r="178" spans="1:8" ht="17.25" customHeight="1">
      <c r="A178" s="34">
        <f t="shared" si="4"/>
      </c>
      <c r="B178" s="102"/>
      <c r="C178" s="35">
        <f>IF(ISERROR(VLOOKUP(B178,'START LİSTE'!$B$6:$F$1253,2,0)),"",VLOOKUP(B178,'START LİSTE'!$B$6:$F$1253,2,0))</f>
      </c>
      <c r="D178" s="35">
        <f>IF(ISERROR(VLOOKUP(B178,'START LİSTE'!$B$6:$F$1253,3,0)),"",VLOOKUP(B178,'START LİSTE'!$B$6:$F$1253,3,0))</f>
      </c>
      <c r="E178" s="36">
        <f>IF(ISERROR(VLOOKUP(B178,'START LİSTE'!$B$6:$F$1253,4,0)),"",VLOOKUP(B178,'START LİSTE'!$B$6:$F$1253,4,0))</f>
      </c>
      <c r="F178" s="37">
        <f>IF(ISERROR(VLOOKUP($B178,'START LİSTE'!$B$6:$F$1253,5,0)),"",VLOOKUP($B178,'START LİSTE'!$B$6:$F$1253,5,0))</f>
      </c>
      <c r="G178" s="103"/>
      <c r="H178" s="135">
        <f t="shared" si="5"/>
      </c>
    </row>
    <row r="179" spans="1:8" ht="17.25" customHeight="1">
      <c r="A179" s="34">
        <f t="shared" si="4"/>
      </c>
      <c r="B179" s="102"/>
      <c r="C179" s="35">
        <f>IF(ISERROR(VLOOKUP(B179,'START LİSTE'!$B$6:$F$1253,2,0)),"",VLOOKUP(B179,'START LİSTE'!$B$6:$F$1253,2,0))</f>
      </c>
      <c r="D179" s="35">
        <f>IF(ISERROR(VLOOKUP(B179,'START LİSTE'!$B$6:$F$1253,3,0)),"",VLOOKUP(B179,'START LİSTE'!$B$6:$F$1253,3,0))</f>
      </c>
      <c r="E179" s="36">
        <f>IF(ISERROR(VLOOKUP(B179,'START LİSTE'!$B$6:$F$1253,4,0)),"",VLOOKUP(B179,'START LİSTE'!$B$6:$F$1253,4,0))</f>
      </c>
      <c r="F179" s="37">
        <f>IF(ISERROR(VLOOKUP($B179,'START LİSTE'!$B$6:$F$1253,5,0)),"",VLOOKUP($B179,'START LİSTE'!$B$6:$F$1253,5,0))</f>
      </c>
      <c r="G179" s="103"/>
      <c r="H179" s="135">
        <f t="shared" si="5"/>
      </c>
    </row>
    <row r="180" spans="1:8" ht="17.25" customHeight="1">
      <c r="A180" s="34">
        <f t="shared" si="4"/>
      </c>
      <c r="B180" s="102"/>
      <c r="C180" s="35">
        <f>IF(ISERROR(VLOOKUP(B180,'START LİSTE'!$B$6:$F$1253,2,0)),"",VLOOKUP(B180,'START LİSTE'!$B$6:$F$1253,2,0))</f>
      </c>
      <c r="D180" s="35">
        <f>IF(ISERROR(VLOOKUP(B180,'START LİSTE'!$B$6:$F$1253,3,0)),"",VLOOKUP(B180,'START LİSTE'!$B$6:$F$1253,3,0))</f>
      </c>
      <c r="E180" s="36">
        <f>IF(ISERROR(VLOOKUP(B180,'START LİSTE'!$B$6:$F$1253,4,0)),"",VLOOKUP(B180,'START LİSTE'!$B$6:$F$1253,4,0))</f>
      </c>
      <c r="F180" s="37">
        <f>IF(ISERROR(VLOOKUP($B180,'START LİSTE'!$B$6:$F$1253,5,0)),"",VLOOKUP($B180,'START LİSTE'!$B$6:$F$1253,5,0))</f>
      </c>
      <c r="G180" s="103"/>
      <c r="H180" s="135">
        <f t="shared" si="5"/>
      </c>
    </row>
    <row r="181" spans="1:8" ht="17.25" customHeight="1">
      <c r="A181" s="34">
        <f t="shared" si="4"/>
      </c>
      <c r="B181" s="102"/>
      <c r="C181" s="35">
        <f>IF(ISERROR(VLOOKUP(B181,'START LİSTE'!$B$6:$F$1253,2,0)),"",VLOOKUP(B181,'START LİSTE'!$B$6:$F$1253,2,0))</f>
      </c>
      <c r="D181" s="35">
        <f>IF(ISERROR(VLOOKUP(B181,'START LİSTE'!$B$6:$F$1253,3,0)),"",VLOOKUP(B181,'START LİSTE'!$B$6:$F$1253,3,0))</f>
      </c>
      <c r="E181" s="36">
        <f>IF(ISERROR(VLOOKUP(B181,'START LİSTE'!$B$6:$F$1253,4,0)),"",VLOOKUP(B181,'START LİSTE'!$B$6:$F$1253,4,0))</f>
      </c>
      <c r="F181" s="37">
        <f>IF(ISERROR(VLOOKUP($B181,'START LİSTE'!$B$6:$F$1253,5,0)),"",VLOOKUP($B181,'START LİSTE'!$B$6:$F$1253,5,0))</f>
      </c>
      <c r="G181" s="103"/>
      <c r="H181" s="135">
        <f t="shared" si="5"/>
      </c>
    </row>
    <row r="182" spans="1:8" ht="17.25" customHeight="1">
      <c r="A182" s="34">
        <f t="shared" si="4"/>
      </c>
      <c r="B182" s="102"/>
      <c r="C182" s="35">
        <f>IF(ISERROR(VLOOKUP(B182,'START LİSTE'!$B$6:$F$1253,2,0)),"",VLOOKUP(B182,'START LİSTE'!$B$6:$F$1253,2,0))</f>
      </c>
      <c r="D182" s="35">
        <f>IF(ISERROR(VLOOKUP(B182,'START LİSTE'!$B$6:$F$1253,3,0)),"",VLOOKUP(B182,'START LİSTE'!$B$6:$F$1253,3,0))</f>
      </c>
      <c r="E182" s="36">
        <f>IF(ISERROR(VLOOKUP(B182,'START LİSTE'!$B$6:$F$1253,4,0)),"",VLOOKUP(B182,'START LİSTE'!$B$6:$F$1253,4,0))</f>
      </c>
      <c r="F182" s="37">
        <f>IF(ISERROR(VLOOKUP($B182,'START LİSTE'!$B$6:$F$1253,5,0)),"",VLOOKUP($B182,'START LİSTE'!$B$6:$F$1253,5,0))</f>
      </c>
      <c r="G182" s="103"/>
      <c r="H182" s="135">
        <f t="shared" si="5"/>
      </c>
    </row>
    <row r="183" spans="1:8" ht="17.25" customHeight="1">
      <c r="A183" s="34">
        <f t="shared" si="4"/>
      </c>
      <c r="B183" s="102"/>
      <c r="C183" s="35">
        <f>IF(ISERROR(VLOOKUP(B183,'START LİSTE'!$B$6:$F$1253,2,0)),"",VLOOKUP(B183,'START LİSTE'!$B$6:$F$1253,2,0))</f>
      </c>
      <c r="D183" s="35">
        <f>IF(ISERROR(VLOOKUP(B183,'START LİSTE'!$B$6:$F$1253,3,0)),"",VLOOKUP(B183,'START LİSTE'!$B$6:$F$1253,3,0))</f>
      </c>
      <c r="E183" s="36">
        <f>IF(ISERROR(VLOOKUP(B183,'START LİSTE'!$B$6:$F$1253,4,0)),"",VLOOKUP(B183,'START LİSTE'!$B$6:$F$1253,4,0))</f>
      </c>
      <c r="F183" s="37">
        <f>IF(ISERROR(VLOOKUP($B183,'START LİSTE'!$B$6:$F$1253,5,0)),"",VLOOKUP($B183,'START LİSTE'!$B$6:$F$1253,5,0))</f>
      </c>
      <c r="G183" s="103"/>
      <c r="H183" s="135">
        <f t="shared" si="5"/>
      </c>
    </row>
    <row r="184" spans="1:8" ht="17.25" customHeight="1">
      <c r="A184" s="34">
        <f t="shared" si="4"/>
      </c>
      <c r="B184" s="102"/>
      <c r="C184" s="35">
        <f>IF(ISERROR(VLOOKUP(B184,'START LİSTE'!$B$6:$F$1253,2,0)),"",VLOOKUP(B184,'START LİSTE'!$B$6:$F$1253,2,0))</f>
      </c>
      <c r="D184" s="35">
        <f>IF(ISERROR(VLOOKUP(B184,'START LİSTE'!$B$6:$F$1253,3,0)),"",VLOOKUP(B184,'START LİSTE'!$B$6:$F$1253,3,0))</f>
      </c>
      <c r="E184" s="36">
        <f>IF(ISERROR(VLOOKUP(B184,'START LİSTE'!$B$6:$F$1253,4,0)),"",VLOOKUP(B184,'START LİSTE'!$B$6:$F$1253,4,0))</f>
      </c>
      <c r="F184" s="37">
        <f>IF(ISERROR(VLOOKUP($B184,'START LİSTE'!$B$6:$F$1253,5,0)),"",VLOOKUP($B184,'START LİSTE'!$B$6:$F$1253,5,0))</f>
      </c>
      <c r="G184" s="103"/>
      <c r="H184" s="135">
        <f t="shared" si="5"/>
      </c>
    </row>
    <row r="185" spans="1:8" ht="17.25" customHeight="1">
      <c r="A185" s="34">
        <f t="shared" si="4"/>
      </c>
      <c r="B185" s="102"/>
      <c r="C185" s="35">
        <f>IF(ISERROR(VLOOKUP(B185,'START LİSTE'!$B$6:$F$1253,2,0)),"",VLOOKUP(B185,'START LİSTE'!$B$6:$F$1253,2,0))</f>
      </c>
      <c r="D185" s="35">
        <f>IF(ISERROR(VLOOKUP(B185,'START LİSTE'!$B$6:$F$1253,3,0)),"",VLOOKUP(B185,'START LİSTE'!$B$6:$F$1253,3,0))</f>
      </c>
      <c r="E185" s="36">
        <f>IF(ISERROR(VLOOKUP(B185,'START LİSTE'!$B$6:$F$1253,4,0)),"",VLOOKUP(B185,'START LİSTE'!$B$6:$F$1253,4,0))</f>
      </c>
      <c r="F185" s="37">
        <f>IF(ISERROR(VLOOKUP($B185,'START LİSTE'!$B$6:$F$1253,5,0)),"",VLOOKUP($B185,'START LİSTE'!$B$6:$F$1253,5,0))</f>
      </c>
      <c r="G185" s="103"/>
      <c r="H185" s="135">
        <f t="shared" si="5"/>
      </c>
    </row>
    <row r="186" spans="1:8" ht="17.25" customHeight="1">
      <c r="A186" s="34">
        <f t="shared" si="4"/>
      </c>
      <c r="B186" s="102"/>
      <c r="C186" s="35">
        <f>IF(ISERROR(VLOOKUP(B186,'START LİSTE'!$B$6:$F$1253,2,0)),"",VLOOKUP(B186,'START LİSTE'!$B$6:$F$1253,2,0))</f>
      </c>
      <c r="D186" s="35">
        <f>IF(ISERROR(VLOOKUP(B186,'START LİSTE'!$B$6:$F$1253,3,0)),"",VLOOKUP(B186,'START LİSTE'!$B$6:$F$1253,3,0))</f>
      </c>
      <c r="E186" s="36">
        <f>IF(ISERROR(VLOOKUP(B186,'START LİSTE'!$B$6:$F$1253,4,0)),"",VLOOKUP(B186,'START LİSTE'!$B$6:$F$1253,4,0))</f>
      </c>
      <c r="F186" s="37">
        <f>IF(ISERROR(VLOOKUP($B186,'START LİSTE'!$B$6:$F$1253,5,0)),"",VLOOKUP($B186,'START LİSTE'!$B$6:$F$1253,5,0))</f>
      </c>
      <c r="G186" s="103"/>
      <c r="H186" s="135">
        <f t="shared" si="5"/>
      </c>
    </row>
    <row r="187" spans="1:8" ht="17.25" customHeight="1">
      <c r="A187" s="34">
        <f t="shared" si="4"/>
      </c>
      <c r="B187" s="102"/>
      <c r="C187" s="35">
        <f>IF(ISERROR(VLOOKUP(B187,'START LİSTE'!$B$6:$F$1253,2,0)),"",VLOOKUP(B187,'START LİSTE'!$B$6:$F$1253,2,0))</f>
      </c>
      <c r="D187" s="35">
        <f>IF(ISERROR(VLOOKUP(B187,'START LİSTE'!$B$6:$F$1253,3,0)),"",VLOOKUP(B187,'START LİSTE'!$B$6:$F$1253,3,0))</f>
      </c>
      <c r="E187" s="36">
        <f>IF(ISERROR(VLOOKUP(B187,'START LİSTE'!$B$6:$F$1253,4,0)),"",VLOOKUP(B187,'START LİSTE'!$B$6:$F$1253,4,0))</f>
      </c>
      <c r="F187" s="37">
        <f>IF(ISERROR(VLOOKUP($B187,'START LİSTE'!$B$6:$F$1253,5,0)),"",VLOOKUP($B187,'START LİSTE'!$B$6:$F$1253,5,0))</f>
      </c>
      <c r="G187" s="103"/>
      <c r="H187" s="135">
        <f t="shared" si="5"/>
      </c>
    </row>
    <row r="188" spans="1:8" ht="17.25" customHeight="1">
      <c r="A188" s="34">
        <f t="shared" si="4"/>
      </c>
      <c r="B188" s="102"/>
      <c r="C188" s="35">
        <f>IF(ISERROR(VLOOKUP(B188,'START LİSTE'!$B$6:$F$1253,2,0)),"",VLOOKUP(B188,'START LİSTE'!$B$6:$F$1253,2,0))</f>
      </c>
      <c r="D188" s="35">
        <f>IF(ISERROR(VLOOKUP(B188,'START LİSTE'!$B$6:$F$1253,3,0)),"",VLOOKUP(B188,'START LİSTE'!$B$6:$F$1253,3,0))</f>
      </c>
      <c r="E188" s="36">
        <f>IF(ISERROR(VLOOKUP(B188,'START LİSTE'!$B$6:$F$1253,4,0)),"",VLOOKUP(B188,'START LİSTE'!$B$6:$F$1253,4,0))</f>
      </c>
      <c r="F188" s="37">
        <f>IF(ISERROR(VLOOKUP($B188,'START LİSTE'!$B$6:$F$1253,5,0)),"",VLOOKUP($B188,'START LİSTE'!$B$6:$F$1253,5,0))</f>
      </c>
      <c r="G188" s="103"/>
      <c r="H188" s="135">
        <f t="shared" si="5"/>
      </c>
    </row>
    <row r="189" spans="1:8" ht="17.25" customHeight="1">
      <c r="A189" s="34">
        <f t="shared" si="4"/>
      </c>
      <c r="B189" s="102"/>
      <c r="C189" s="35">
        <f>IF(ISERROR(VLOOKUP(B189,'START LİSTE'!$B$6:$F$1253,2,0)),"",VLOOKUP(B189,'START LİSTE'!$B$6:$F$1253,2,0))</f>
      </c>
      <c r="D189" s="35">
        <f>IF(ISERROR(VLOOKUP(B189,'START LİSTE'!$B$6:$F$1253,3,0)),"",VLOOKUP(B189,'START LİSTE'!$B$6:$F$1253,3,0))</f>
      </c>
      <c r="E189" s="36">
        <f>IF(ISERROR(VLOOKUP(B189,'START LİSTE'!$B$6:$F$1253,4,0)),"",VLOOKUP(B189,'START LİSTE'!$B$6:$F$1253,4,0))</f>
      </c>
      <c r="F189" s="37">
        <f>IF(ISERROR(VLOOKUP($B189,'START LİSTE'!$B$6:$F$1253,5,0)),"",VLOOKUP($B189,'START LİSTE'!$B$6:$F$1253,5,0))</f>
      </c>
      <c r="G189" s="103"/>
      <c r="H189" s="135">
        <f t="shared" si="5"/>
      </c>
    </row>
    <row r="190" spans="1:8" ht="17.25" customHeight="1">
      <c r="A190" s="34">
        <f t="shared" si="4"/>
      </c>
      <c r="B190" s="102"/>
      <c r="C190" s="35">
        <f>IF(ISERROR(VLOOKUP(B190,'START LİSTE'!$B$6:$F$1253,2,0)),"",VLOOKUP(B190,'START LİSTE'!$B$6:$F$1253,2,0))</f>
      </c>
      <c r="D190" s="35">
        <f>IF(ISERROR(VLOOKUP(B190,'START LİSTE'!$B$6:$F$1253,3,0)),"",VLOOKUP(B190,'START LİSTE'!$B$6:$F$1253,3,0))</f>
      </c>
      <c r="E190" s="36">
        <f>IF(ISERROR(VLOOKUP(B190,'START LİSTE'!$B$6:$F$1253,4,0)),"",VLOOKUP(B190,'START LİSTE'!$B$6:$F$1253,4,0))</f>
      </c>
      <c r="F190" s="37">
        <f>IF(ISERROR(VLOOKUP($B190,'START LİSTE'!$B$6:$F$1253,5,0)),"",VLOOKUP($B190,'START LİSTE'!$B$6:$F$1253,5,0))</f>
      </c>
      <c r="G190" s="103"/>
      <c r="H190" s="135">
        <f t="shared" si="5"/>
      </c>
    </row>
    <row r="191" spans="1:8" ht="17.25" customHeight="1">
      <c r="A191" s="34">
        <f t="shared" si="4"/>
      </c>
      <c r="B191" s="102"/>
      <c r="C191" s="35">
        <f>IF(ISERROR(VLOOKUP(B191,'START LİSTE'!$B$6:$F$1253,2,0)),"",VLOOKUP(B191,'START LİSTE'!$B$6:$F$1253,2,0))</f>
      </c>
      <c r="D191" s="35">
        <f>IF(ISERROR(VLOOKUP(B191,'START LİSTE'!$B$6:$F$1253,3,0)),"",VLOOKUP(B191,'START LİSTE'!$B$6:$F$1253,3,0))</f>
      </c>
      <c r="E191" s="36">
        <f>IF(ISERROR(VLOOKUP(B191,'START LİSTE'!$B$6:$F$1253,4,0)),"",VLOOKUP(B191,'START LİSTE'!$B$6:$F$1253,4,0))</f>
      </c>
      <c r="F191" s="37">
        <f>IF(ISERROR(VLOOKUP($B191,'START LİSTE'!$B$6:$F$1253,5,0)),"",VLOOKUP($B191,'START LİSTE'!$B$6:$F$1253,5,0))</f>
      </c>
      <c r="G191" s="103"/>
      <c r="H191" s="135">
        <f t="shared" si="5"/>
      </c>
    </row>
    <row r="192" spans="1:8" ht="17.25" customHeight="1">
      <c r="A192" s="34">
        <f t="shared" si="4"/>
      </c>
      <c r="B192" s="102"/>
      <c r="C192" s="35">
        <f>IF(ISERROR(VLOOKUP(B192,'START LİSTE'!$B$6:$F$1253,2,0)),"",VLOOKUP(B192,'START LİSTE'!$B$6:$F$1253,2,0))</f>
      </c>
      <c r="D192" s="35">
        <f>IF(ISERROR(VLOOKUP(B192,'START LİSTE'!$B$6:$F$1253,3,0)),"",VLOOKUP(B192,'START LİSTE'!$B$6:$F$1253,3,0))</f>
      </c>
      <c r="E192" s="36">
        <f>IF(ISERROR(VLOOKUP(B192,'START LİSTE'!$B$6:$F$1253,4,0)),"",VLOOKUP(B192,'START LİSTE'!$B$6:$F$1253,4,0))</f>
      </c>
      <c r="F192" s="37">
        <f>IF(ISERROR(VLOOKUP($B192,'START LİSTE'!$B$6:$F$1253,5,0)),"",VLOOKUP($B192,'START LİSTE'!$B$6:$F$1253,5,0))</f>
      </c>
      <c r="G192" s="103"/>
      <c r="H192" s="135">
        <f t="shared" si="5"/>
      </c>
    </row>
    <row r="193" spans="1:8" ht="17.25" customHeight="1">
      <c r="A193" s="34">
        <f t="shared" si="4"/>
      </c>
      <c r="B193" s="102"/>
      <c r="C193" s="35">
        <f>IF(ISERROR(VLOOKUP(B193,'START LİSTE'!$B$6:$F$1253,2,0)),"",VLOOKUP(B193,'START LİSTE'!$B$6:$F$1253,2,0))</f>
      </c>
      <c r="D193" s="35">
        <f>IF(ISERROR(VLOOKUP(B193,'START LİSTE'!$B$6:$F$1253,3,0)),"",VLOOKUP(B193,'START LİSTE'!$B$6:$F$1253,3,0))</f>
      </c>
      <c r="E193" s="36">
        <f>IF(ISERROR(VLOOKUP(B193,'START LİSTE'!$B$6:$F$1253,4,0)),"",VLOOKUP(B193,'START LİSTE'!$B$6:$F$1253,4,0))</f>
      </c>
      <c r="F193" s="37">
        <f>IF(ISERROR(VLOOKUP($B193,'START LİSTE'!$B$6:$F$1253,5,0)),"",VLOOKUP($B193,'START LİSTE'!$B$6:$F$1253,5,0))</f>
      </c>
      <c r="G193" s="103"/>
      <c r="H193" s="135">
        <f t="shared" si="5"/>
      </c>
    </row>
    <row r="194" spans="1:8" ht="17.25" customHeight="1">
      <c r="A194" s="34">
        <f t="shared" si="4"/>
      </c>
      <c r="B194" s="102"/>
      <c r="C194" s="35">
        <f>IF(ISERROR(VLOOKUP(B194,'START LİSTE'!$B$6:$F$1253,2,0)),"",VLOOKUP(B194,'START LİSTE'!$B$6:$F$1253,2,0))</f>
      </c>
      <c r="D194" s="35">
        <f>IF(ISERROR(VLOOKUP(B194,'START LİSTE'!$B$6:$F$1253,3,0)),"",VLOOKUP(B194,'START LİSTE'!$B$6:$F$1253,3,0))</f>
      </c>
      <c r="E194" s="36">
        <f>IF(ISERROR(VLOOKUP(B194,'START LİSTE'!$B$6:$F$1253,4,0)),"",VLOOKUP(B194,'START LİSTE'!$B$6:$F$1253,4,0))</f>
      </c>
      <c r="F194" s="37">
        <f>IF(ISERROR(VLOOKUP($B194,'START LİSTE'!$B$6:$F$1253,5,0)),"",VLOOKUP($B194,'START LİSTE'!$B$6:$F$1253,5,0))</f>
      </c>
      <c r="G194" s="103"/>
      <c r="H194" s="135">
        <f t="shared" si="5"/>
      </c>
    </row>
    <row r="195" spans="1:8" ht="17.25" customHeight="1">
      <c r="A195" s="34">
        <f t="shared" si="4"/>
      </c>
      <c r="B195" s="102"/>
      <c r="C195" s="35">
        <f>IF(ISERROR(VLOOKUP(B195,'START LİSTE'!$B$6:$F$1253,2,0)),"",VLOOKUP(B195,'START LİSTE'!$B$6:$F$1253,2,0))</f>
      </c>
      <c r="D195" s="35">
        <f>IF(ISERROR(VLOOKUP(B195,'START LİSTE'!$B$6:$F$1253,3,0)),"",VLOOKUP(B195,'START LİSTE'!$B$6:$F$1253,3,0))</f>
      </c>
      <c r="E195" s="36">
        <f>IF(ISERROR(VLOOKUP(B195,'START LİSTE'!$B$6:$F$1253,4,0)),"",VLOOKUP(B195,'START LİSTE'!$B$6:$F$1253,4,0))</f>
      </c>
      <c r="F195" s="37">
        <f>IF(ISERROR(VLOOKUP($B195,'START LİSTE'!$B$6:$F$1253,5,0)),"",VLOOKUP($B195,'START LİSTE'!$B$6:$F$1253,5,0))</f>
      </c>
      <c r="G195" s="103"/>
      <c r="H195" s="135">
        <f t="shared" si="5"/>
      </c>
    </row>
    <row r="196" spans="1:8" ht="17.25" customHeight="1">
      <c r="A196" s="34">
        <f t="shared" si="4"/>
      </c>
      <c r="B196" s="102"/>
      <c r="C196" s="35">
        <f>IF(ISERROR(VLOOKUP(B196,'START LİSTE'!$B$6:$F$1253,2,0)),"",VLOOKUP(B196,'START LİSTE'!$B$6:$F$1253,2,0))</f>
      </c>
      <c r="D196" s="35">
        <f>IF(ISERROR(VLOOKUP(B196,'START LİSTE'!$B$6:$F$1253,3,0)),"",VLOOKUP(B196,'START LİSTE'!$B$6:$F$1253,3,0))</f>
      </c>
      <c r="E196" s="36">
        <f>IF(ISERROR(VLOOKUP(B196,'START LİSTE'!$B$6:$F$1253,4,0)),"",VLOOKUP(B196,'START LİSTE'!$B$6:$F$1253,4,0))</f>
      </c>
      <c r="F196" s="37">
        <f>IF(ISERROR(VLOOKUP($B196,'START LİSTE'!$B$6:$F$1253,5,0)),"",VLOOKUP($B196,'START LİSTE'!$B$6:$F$1253,5,0))</f>
      </c>
      <c r="G196" s="103"/>
      <c r="H196" s="135">
        <f t="shared" si="5"/>
      </c>
    </row>
    <row r="197" spans="1:8" ht="17.25" customHeight="1">
      <c r="A197" s="34">
        <f t="shared" si="4"/>
      </c>
      <c r="B197" s="102"/>
      <c r="C197" s="35">
        <f>IF(ISERROR(VLOOKUP(B197,'START LİSTE'!$B$6:$F$1253,2,0)),"",VLOOKUP(B197,'START LİSTE'!$B$6:$F$1253,2,0))</f>
      </c>
      <c r="D197" s="35">
        <f>IF(ISERROR(VLOOKUP(B197,'START LİSTE'!$B$6:$F$1253,3,0)),"",VLOOKUP(B197,'START LİSTE'!$B$6:$F$1253,3,0))</f>
      </c>
      <c r="E197" s="36">
        <f>IF(ISERROR(VLOOKUP(B197,'START LİSTE'!$B$6:$F$1253,4,0)),"",VLOOKUP(B197,'START LİSTE'!$B$6:$F$1253,4,0))</f>
      </c>
      <c r="F197" s="37">
        <f>IF(ISERROR(VLOOKUP($B197,'START LİSTE'!$B$6:$F$1253,5,0)),"",VLOOKUP($B197,'START LİSTE'!$B$6:$F$1253,5,0))</f>
      </c>
      <c r="G197" s="103"/>
      <c r="H197" s="135">
        <f t="shared" si="5"/>
      </c>
    </row>
    <row r="198" spans="1:8" ht="17.25" customHeight="1">
      <c r="A198" s="34">
        <f t="shared" si="4"/>
      </c>
      <c r="B198" s="102"/>
      <c r="C198" s="35">
        <f>IF(ISERROR(VLOOKUP(B198,'START LİSTE'!$B$6:$F$1253,2,0)),"",VLOOKUP(B198,'START LİSTE'!$B$6:$F$1253,2,0))</f>
      </c>
      <c r="D198" s="35">
        <f>IF(ISERROR(VLOOKUP(B198,'START LİSTE'!$B$6:$F$1253,3,0)),"",VLOOKUP(B198,'START LİSTE'!$B$6:$F$1253,3,0))</f>
      </c>
      <c r="E198" s="36">
        <f>IF(ISERROR(VLOOKUP(B198,'START LİSTE'!$B$6:$F$1253,4,0)),"",VLOOKUP(B198,'START LİSTE'!$B$6:$F$1253,4,0))</f>
      </c>
      <c r="F198" s="37">
        <f>IF(ISERROR(VLOOKUP($B198,'START LİSTE'!$B$6:$F$1253,5,0)),"",VLOOKUP($B198,'START LİSTE'!$B$6:$F$1253,5,0))</f>
      </c>
      <c r="G198" s="103"/>
      <c r="H198" s="135">
        <f t="shared" si="5"/>
      </c>
    </row>
    <row r="199" spans="1:8" ht="17.25" customHeight="1">
      <c r="A199" s="34">
        <f t="shared" si="4"/>
      </c>
      <c r="B199" s="102"/>
      <c r="C199" s="35">
        <f>IF(ISERROR(VLOOKUP(B199,'START LİSTE'!$B$6:$F$1253,2,0)),"",VLOOKUP(B199,'START LİSTE'!$B$6:$F$1253,2,0))</f>
      </c>
      <c r="D199" s="35">
        <f>IF(ISERROR(VLOOKUP(B199,'START LİSTE'!$B$6:$F$1253,3,0)),"",VLOOKUP(B199,'START LİSTE'!$B$6:$F$1253,3,0))</f>
      </c>
      <c r="E199" s="36">
        <f>IF(ISERROR(VLOOKUP(B199,'START LİSTE'!$B$6:$F$1253,4,0)),"",VLOOKUP(B199,'START LİSTE'!$B$6:$F$1253,4,0))</f>
      </c>
      <c r="F199" s="37">
        <f>IF(ISERROR(VLOOKUP($B199,'START LİSTE'!$B$6:$F$1253,5,0)),"",VLOOKUP($B199,'START LİSTE'!$B$6:$F$1253,5,0))</f>
      </c>
      <c r="G199" s="103"/>
      <c r="H199" s="135">
        <f t="shared" si="5"/>
      </c>
    </row>
    <row r="200" spans="1:8" ht="17.25" customHeight="1">
      <c r="A200" s="34">
        <f aca="true" t="shared" si="6" ref="A200:A254">IF(B200&lt;&gt;"",A199+1,"")</f>
      </c>
      <c r="B200" s="102"/>
      <c r="C200" s="35">
        <f>IF(ISERROR(VLOOKUP(B200,'START LİSTE'!$B$6:$F$1253,2,0)),"",VLOOKUP(B200,'START LİSTE'!$B$6:$F$1253,2,0))</f>
      </c>
      <c r="D200" s="35">
        <f>IF(ISERROR(VLOOKUP(B200,'START LİSTE'!$B$6:$F$1253,3,0)),"",VLOOKUP(B200,'START LİSTE'!$B$6:$F$1253,3,0))</f>
      </c>
      <c r="E200" s="36">
        <f>IF(ISERROR(VLOOKUP(B200,'START LİSTE'!$B$6:$F$1253,4,0)),"",VLOOKUP(B200,'START LİSTE'!$B$6:$F$1253,4,0))</f>
      </c>
      <c r="F200" s="37">
        <f>IF(ISERROR(VLOOKUP($B200,'START LİSTE'!$B$6:$F$1253,5,0)),"",VLOOKUP($B200,'START LİSTE'!$B$6:$F$1253,5,0))</f>
      </c>
      <c r="G200" s="103"/>
      <c r="H200" s="135">
        <f aca="true" t="shared" si="7" ref="H200:H254">IF(OR(G200="DQ",G200="DNF",G200="DNS"),"-",IF(B200&lt;&gt;"",IF(E200="F",H199,H199+1),""))</f>
      </c>
    </row>
    <row r="201" spans="1:8" ht="17.25" customHeight="1">
      <c r="A201" s="34">
        <f t="shared" si="6"/>
      </c>
      <c r="B201" s="102"/>
      <c r="C201" s="35">
        <f>IF(ISERROR(VLOOKUP(B201,'START LİSTE'!$B$6:$F$1253,2,0)),"",VLOOKUP(B201,'START LİSTE'!$B$6:$F$1253,2,0))</f>
      </c>
      <c r="D201" s="35">
        <f>IF(ISERROR(VLOOKUP(B201,'START LİSTE'!$B$6:$F$1253,3,0)),"",VLOOKUP(B201,'START LİSTE'!$B$6:$F$1253,3,0))</f>
      </c>
      <c r="E201" s="36">
        <f>IF(ISERROR(VLOOKUP(B201,'START LİSTE'!$B$6:$F$1253,4,0)),"",VLOOKUP(B201,'START LİSTE'!$B$6:$F$1253,4,0))</f>
      </c>
      <c r="F201" s="37">
        <f>IF(ISERROR(VLOOKUP($B201,'START LİSTE'!$B$6:$F$1253,5,0)),"",VLOOKUP($B201,'START LİSTE'!$B$6:$F$1253,5,0))</f>
      </c>
      <c r="G201" s="103"/>
      <c r="H201" s="135">
        <f t="shared" si="7"/>
      </c>
    </row>
    <row r="202" spans="1:8" ht="17.25" customHeight="1">
      <c r="A202" s="34">
        <f t="shared" si="6"/>
      </c>
      <c r="B202" s="102"/>
      <c r="C202" s="35">
        <f>IF(ISERROR(VLOOKUP(B202,'START LİSTE'!$B$6:$F$1253,2,0)),"",VLOOKUP(B202,'START LİSTE'!$B$6:$F$1253,2,0))</f>
      </c>
      <c r="D202" s="35">
        <f>IF(ISERROR(VLOOKUP(B202,'START LİSTE'!$B$6:$F$1253,3,0)),"",VLOOKUP(B202,'START LİSTE'!$B$6:$F$1253,3,0))</f>
      </c>
      <c r="E202" s="36">
        <f>IF(ISERROR(VLOOKUP(B202,'START LİSTE'!$B$6:$F$1253,4,0)),"",VLOOKUP(B202,'START LİSTE'!$B$6:$F$1253,4,0))</f>
      </c>
      <c r="F202" s="37">
        <f>IF(ISERROR(VLOOKUP($B202,'START LİSTE'!$B$6:$F$1253,5,0)),"",VLOOKUP($B202,'START LİSTE'!$B$6:$F$1253,5,0))</f>
      </c>
      <c r="G202" s="103"/>
      <c r="H202" s="135">
        <f t="shared" si="7"/>
      </c>
    </row>
    <row r="203" spans="1:8" ht="17.25" customHeight="1">
      <c r="A203" s="34">
        <f t="shared" si="6"/>
      </c>
      <c r="B203" s="102"/>
      <c r="C203" s="35">
        <f>IF(ISERROR(VLOOKUP(B203,'START LİSTE'!$B$6:$F$1253,2,0)),"",VLOOKUP(B203,'START LİSTE'!$B$6:$F$1253,2,0))</f>
      </c>
      <c r="D203" s="35">
        <f>IF(ISERROR(VLOOKUP(B203,'START LİSTE'!$B$6:$F$1253,3,0)),"",VLOOKUP(B203,'START LİSTE'!$B$6:$F$1253,3,0))</f>
      </c>
      <c r="E203" s="36">
        <f>IF(ISERROR(VLOOKUP(B203,'START LİSTE'!$B$6:$F$1253,4,0)),"",VLOOKUP(B203,'START LİSTE'!$B$6:$F$1253,4,0))</f>
      </c>
      <c r="F203" s="37">
        <f>IF(ISERROR(VLOOKUP($B203,'START LİSTE'!$B$6:$F$1253,5,0)),"",VLOOKUP($B203,'START LİSTE'!$B$6:$F$1253,5,0))</f>
      </c>
      <c r="G203" s="103"/>
      <c r="H203" s="135">
        <f t="shared" si="7"/>
      </c>
    </row>
    <row r="204" spans="1:8" ht="17.25" customHeight="1">
      <c r="A204" s="34">
        <f t="shared" si="6"/>
      </c>
      <c r="B204" s="102"/>
      <c r="C204" s="35">
        <f>IF(ISERROR(VLOOKUP(B204,'START LİSTE'!$B$6:$F$1253,2,0)),"",VLOOKUP(B204,'START LİSTE'!$B$6:$F$1253,2,0))</f>
      </c>
      <c r="D204" s="35">
        <f>IF(ISERROR(VLOOKUP(B204,'START LİSTE'!$B$6:$F$1253,3,0)),"",VLOOKUP(B204,'START LİSTE'!$B$6:$F$1253,3,0))</f>
      </c>
      <c r="E204" s="36">
        <f>IF(ISERROR(VLOOKUP(B204,'START LİSTE'!$B$6:$F$1253,4,0)),"",VLOOKUP(B204,'START LİSTE'!$B$6:$F$1253,4,0))</f>
      </c>
      <c r="F204" s="37">
        <f>IF(ISERROR(VLOOKUP($B204,'START LİSTE'!$B$6:$F$1253,5,0)),"",VLOOKUP($B204,'START LİSTE'!$B$6:$F$1253,5,0))</f>
      </c>
      <c r="G204" s="103"/>
      <c r="H204" s="135">
        <f t="shared" si="7"/>
      </c>
    </row>
    <row r="205" spans="1:8" ht="17.25" customHeight="1">
      <c r="A205" s="34">
        <f t="shared" si="6"/>
      </c>
      <c r="B205" s="102"/>
      <c r="C205" s="35">
        <f>IF(ISERROR(VLOOKUP(B205,'START LİSTE'!$B$6:$F$1253,2,0)),"",VLOOKUP(B205,'START LİSTE'!$B$6:$F$1253,2,0))</f>
      </c>
      <c r="D205" s="35">
        <f>IF(ISERROR(VLOOKUP(B205,'START LİSTE'!$B$6:$F$1253,3,0)),"",VLOOKUP(B205,'START LİSTE'!$B$6:$F$1253,3,0))</f>
      </c>
      <c r="E205" s="36">
        <f>IF(ISERROR(VLOOKUP(B205,'START LİSTE'!$B$6:$F$1253,4,0)),"",VLOOKUP(B205,'START LİSTE'!$B$6:$F$1253,4,0))</f>
      </c>
      <c r="F205" s="37">
        <f>IF(ISERROR(VLOOKUP($B205,'START LİSTE'!$B$6:$F$1253,5,0)),"",VLOOKUP($B205,'START LİSTE'!$B$6:$F$1253,5,0))</f>
      </c>
      <c r="G205" s="103"/>
      <c r="H205" s="135">
        <f t="shared" si="7"/>
      </c>
    </row>
    <row r="206" spans="1:8" ht="17.25" customHeight="1">
      <c r="A206" s="34">
        <f t="shared" si="6"/>
      </c>
      <c r="B206" s="102"/>
      <c r="C206" s="35">
        <f>IF(ISERROR(VLOOKUP(B206,'START LİSTE'!$B$6:$F$1253,2,0)),"",VLOOKUP(B206,'START LİSTE'!$B$6:$F$1253,2,0))</f>
      </c>
      <c r="D206" s="35">
        <f>IF(ISERROR(VLOOKUP(B206,'START LİSTE'!$B$6:$F$1253,3,0)),"",VLOOKUP(B206,'START LİSTE'!$B$6:$F$1253,3,0))</f>
      </c>
      <c r="E206" s="36">
        <f>IF(ISERROR(VLOOKUP(B206,'START LİSTE'!$B$6:$F$1253,4,0)),"",VLOOKUP(B206,'START LİSTE'!$B$6:$F$1253,4,0))</f>
      </c>
      <c r="F206" s="37">
        <f>IF(ISERROR(VLOOKUP($B206,'START LİSTE'!$B$6:$F$1253,5,0)),"",VLOOKUP($B206,'START LİSTE'!$B$6:$F$1253,5,0))</f>
      </c>
      <c r="G206" s="103"/>
      <c r="H206" s="135">
        <f t="shared" si="7"/>
      </c>
    </row>
    <row r="207" spans="1:8" ht="17.25" customHeight="1">
      <c r="A207" s="34">
        <f t="shared" si="6"/>
      </c>
      <c r="B207" s="102"/>
      <c r="C207" s="35">
        <f>IF(ISERROR(VLOOKUP(B207,'START LİSTE'!$B$6:$F$1253,2,0)),"",VLOOKUP(B207,'START LİSTE'!$B$6:$F$1253,2,0))</f>
      </c>
      <c r="D207" s="35">
        <f>IF(ISERROR(VLOOKUP(B207,'START LİSTE'!$B$6:$F$1253,3,0)),"",VLOOKUP(B207,'START LİSTE'!$B$6:$F$1253,3,0))</f>
      </c>
      <c r="E207" s="36">
        <f>IF(ISERROR(VLOOKUP(B207,'START LİSTE'!$B$6:$F$1253,4,0)),"",VLOOKUP(B207,'START LİSTE'!$B$6:$F$1253,4,0))</f>
      </c>
      <c r="F207" s="37">
        <f>IF(ISERROR(VLOOKUP($B207,'START LİSTE'!$B$6:$F$1253,5,0)),"",VLOOKUP($B207,'START LİSTE'!$B$6:$F$1253,5,0))</f>
      </c>
      <c r="G207" s="103"/>
      <c r="H207" s="135">
        <f t="shared" si="7"/>
      </c>
    </row>
    <row r="208" spans="1:8" ht="17.25" customHeight="1">
      <c r="A208" s="34">
        <f t="shared" si="6"/>
      </c>
      <c r="B208" s="102"/>
      <c r="C208" s="35">
        <f>IF(ISERROR(VLOOKUP(B208,'START LİSTE'!$B$6:$F$1253,2,0)),"",VLOOKUP(B208,'START LİSTE'!$B$6:$F$1253,2,0))</f>
      </c>
      <c r="D208" s="35">
        <f>IF(ISERROR(VLOOKUP(B208,'START LİSTE'!$B$6:$F$1253,3,0)),"",VLOOKUP(B208,'START LİSTE'!$B$6:$F$1253,3,0))</f>
      </c>
      <c r="E208" s="36">
        <f>IF(ISERROR(VLOOKUP(B208,'START LİSTE'!$B$6:$F$1253,4,0)),"",VLOOKUP(B208,'START LİSTE'!$B$6:$F$1253,4,0))</f>
      </c>
      <c r="F208" s="37">
        <f>IF(ISERROR(VLOOKUP($B208,'START LİSTE'!$B$6:$F$1253,5,0)),"",VLOOKUP($B208,'START LİSTE'!$B$6:$F$1253,5,0))</f>
      </c>
      <c r="G208" s="103"/>
      <c r="H208" s="135">
        <f t="shared" si="7"/>
      </c>
    </row>
    <row r="209" spans="1:8" ht="17.25" customHeight="1">
      <c r="A209" s="34">
        <f t="shared" si="6"/>
      </c>
      <c r="B209" s="102"/>
      <c r="C209" s="35">
        <f>IF(ISERROR(VLOOKUP(B209,'START LİSTE'!$B$6:$F$1253,2,0)),"",VLOOKUP(B209,'START LİSTE'!$B$6:$F$1253,2,0))</f>
      </c>
      <c r="D209" s="35">
        <f>IF(ISERROR(VLOOKUP(B209,'START LİSTE'!$B$6:$F$1253,3,0)),"",VLOOKUP(B209,'START LİSTE'!$B$6:$F$1253,3,0))</f>
      </c>
      <c r="E209" s="36">
        <f>IF(ISERROR(VLOOKUP(B209,'START LİSTE'!$B$6:$F$1253,4,0)),"",VLOOKUP(B209,'START LİSTE'!$B$6:$F$1253,4,0))</f>
      </c>
      <c r="F209" s="37">
        <f>IF(ISERROR(VLOOKUP($B209,'START LİSTE'!$B$6:$F$1253,5,0)),"",VLOOKUP($B209,'START LİSTE'!$B$6:$F$1253,5,0))</f>
      </c>
      <c r="G209" s="103"/>
      <c r="H209" s="135">
        <f t="shared" si="7"/>
      </c>
    </row>
    <row r="210" spans="1:8" ht="17.25" customHeight="1">
      <c r="A210" s="34">
        <f t="shared" si="6"/>
      </c>
      <c r="B210" s="102"/>
      <c r="C210" s="35">
        <f>IF(ISERROR(VLOOKUP(B210,'START LİSTE'!$B$6:$F$1253,2,0)),"",VLOOKUP(B210,'START LİSTE'!$B$6:$F$1253,2,0))</f>
      </c>
      <c r="D210" s="35">
        <f>IF(ISERROR(VLOOKUP(B210,'START LİSTE'!$B$6:$F$1253,3,0)),"",VLOOKUP(B210,'START LİSTE'!$B$6:$F$1253,3,0))</f>
      </c>
      <c r="E210" s="36">
        <f>IF(ISERROR(VLOOKUP(B210,'START LİSTE'!$B$6:$F$1253,4,0)),"",VLOOKUP(B210,'START LİSTE'!$B$6:$F$1253,4,0))</f>
      </c>
      <c r="F210" s="37">
        <f>IF(ISERROR(VLOOKUP($B210,'START LİSTE'!$B$6:$F$1253,5,0)),"",VLOOKUP($B210,'START LİSTE'!$B$6:$F$1253,5,0))</f>
      </c>
      <c r="G210" s="103"/>
      <c r="H210" s="135">
        <f t="shared" si="7"/>
      </c>
    </row>
    <row r="211" spans="1:8" ht="17.25" customHeight="1">
      <c r="A211" s="34">
        <f t="shared" si="6"/>
      </c>
      <c r="B211" s="102"/>
      <c r="C211" s="35">
        <f>IF(ISERROR(VLOOKUP(B211,'START LİSTE'!$B$6:$F$1253,2,0)),"",VLOOKUP(B211,'START LİSTE'!$B$6:$F$1253,2,0))</f>
      </c>
      <c r="D211" s="35">
        <f>IF(ISERROR(VLOOKUP(B211,'START LİSTE'!$B$6:$F$1253,3,0)),"",VLOOKUP(B211,'START LİSTE'!$B$6:$F$1253,3,0))</f>
      </c>
      <c r="E211" s="36">
        <f>IF(ISERROR(VLOOKUP(B211,'START LİSTE'!$B$6:$F$1253,4,0)),"",VLOOKUP(B211,'START LİSTE'!$B$6:$F$1253,4,0))</f>
      </c>
      <c r="F211" s="37">
        <f>IF(ISERROR(VLOOKUP($B211,'START LİSTE'!$B$6:$F$1253,5,0)),"",VLOOKUP($B211,'START LİSTE'!$B$6:$F$1253,5,0))</f>
      </c>
      <c r="G211" s="103"/>
      <c r="H211" s="135">
        <f t="shared" si="7"/>
      </c>
    </row>
    <row r="212" spans="1:8" ht="17.25" customHeight="1">
      <c r="A212" s="34">
        <f t="shared" si="6"/>
      </c>
      <c r="B212" s="102"/>
      <c r="C212" s="35">
        <f>IF(ISERROR(VLOOKUP(B212,'START LİSTE'!$B$6:$F$1253,2,0)),"",VLOOKUP(B212,'START LİSTE'!$B$6:$F$1253,2,0))</f>
      </c>
      <c r="D212" s="35">
        <f>IF(ISERROR(VLOOKUP(B212,'START LİSTE'!$B$6:$F$1253,3,0)),"",VLOOKUP(B212,'START LİSTE'!$B$6:$F$1253,3,0))</f>
      </c>
      <c r="E212" s="36">
        <f>IF(ISERROR(VLOOKUP(B212,'START LİSTE'!$B$6:$F$1253,4,0)),"",VLOOKUP(B212,'START LİSTE'!$B$6:$F$1253,4,0))</f>
      </c>
      <c r="F212" s="37">
        <f>IF(ISERROR(VLOOKUP($B212,'START LİSTE'!$B$6:$F$1253,5,0)),"",VLOOKUP($B212,'START LİSTE'!$B$6:$F$1253,5,0))</f>
      </c>
      <c r="G212" s="103"/>
      <c r="H212" s="135">
        <f t="shared" si="7"/>
      </c>
    </row>
    <row r="213" spans="1:8" ht="17.25" customHeight="1">
      <c r="A213" s="34">
        <f t="shared" si="6"/>
      </c>
      <c r="B213" s="102"/>
      <c r="C213" s="35">
        <f>IF(ISERROR(VLOOKUP(B213,'START LİSTE'!$B$6:$F$1253,2,0)),"",VLOOKUP(B213,'START LİSTE'!$B$6:$F$1253,2,0))</f>
      </c>
      <c r="D213" s="35">
        <f>IF(ISERROR(VLOOKUP(B213,'START LİSTE'!$B$6:$F$1253,3,0)),"",VLOOKUP(B213,'START LİSTE'!$B$6:$F$1253,3,0))</f>
      </c>
      <c r="E213" s="36">
        <f>IF(ISERROR(VLOOKUP(B213,'START LİSTE'!$B$6:$F$1253,4,0)),"",VLOOKUP(B213,'START LİSTE'!$B$6:$F$1253,4,0))</f>
      </c>
      <c r="F213" s="37">
        <f>IF(ISERROR(VLOOKUP($B213,'START LİSTE'!$B$6:$F$1253,5,0)),"",VLOOKUP($B213,'START LİSTE'!$B$6:$F$1253,5,0))</f>
      </c>
      <c r="G213" s="103"/>
      <c r="H213" s="135">
        <f t="shared" si="7"/>
      </c>
    </row>
    <row r="214" spans="1:8" ht="17.25" customHeight="1">
      <c r="A214" s="34">
        <f t="shared" si="6"/>
      </c>
      <c r="B214" s="102"/>
      <c r="C214" s="35">
        <f>IF(ISERROR(VLOOKUP(B214,'START LİSTE'!$B$6:$F$1253,2,0)),"",VLOOKUP(B214,'START LİSTE'!$B$6:$F$1253,2,0))</f>
      </c>
      <c r="D214" s="35">
        <f>IF(ISERROR(VLOOKUP(B214,'START LİSTE'!$B$6:$F$1253,3,0)),"",VLOOKUP(B214,'START LİSTE'!$B$6:$F$1253,3,0))</f>
      </c>
      <c r="E214" s="36">
        <f>IF(ISERROR(VLOOKUP(B214,'START LİSTE'!$B$6:$F$1253,4,0)),"",VLOOKUP(B214,'START LİSTE'!$B$6:$F$1253,4,0))</f>
      </c>
      <c r="F214" s="37">
        <f>IF(ISERROR(VLOOKUP($B214,'START LİSTE'!$B$6:$F$1253,5,0)),"",VLOOKUP($B214,'START LİSTE'!$B$6:$F$1253,5,0))</f>
      </c>
      <c r="G214" s="103"/>
      <c r="H214" s="135">
        <f t="shared" si="7"/>
      </c>
    </row>
    <row r="215" spans="1:8" ht="17.25" customHeight="1">
      <c r="A215" s="34">
        <f t="shared" si="6"/>
      </c>
      <c r="B215" s="102"/>
      <c r="C215" s="35">
        <f>IF(ISERROR(VLOOKUP(B215,'START LİSTE'!$B$6:$F$1253,2,0)),"",VLOOKUP(B215,'START LİSTE'!$B$6:$F$1253,2,0))</f>
      </c>
      <c r="D215" s="35">
        <f>IF(ISERROR(VLOOKUP(B215,'START LİSTE'!$B$6:$F$1253,3,0)),"",VLOOKUP(B215,'START LİSTE'!$B$6:$F$1253,3,0))</f>
      </c>
      <c r="E215" s="36">
        <f>IF(ISERROR(VLOOKUP(B215,'START LİSTE'!$B$6:$F$1253,4,0)),"",VLOOKUP(B215,'START LİSTE'!$B$6:$F$1253,4,0))</f>
      </c>
      <c r="F215" s="37">
        <f>IF(ISERROR(VLOOKUP($B215,'START LİSTE'!$B$6:$F$1253,5,0)),"",VLOOKUP($B215,'START LİSTE'!$B$6:$F$1253,5,0))</f>
      </c>
      <c r="G215" s="103"/>
      <c r="H215" s="135">
        <f t="shared" si="7"/>
      </c>
    </row>
    <row r="216" spans="1:8" ht="17.25" customHeight="1">
      <c r="A216" s="34">
        <f t="shared" si="6"/>
      </c>
      <c r="B216" s="102"/>
      <c r="C216" s="35">
        <f>IF(ISERROR(VLOOKUP(B216,'START LİSTE'!$B$6:$F$1253,2,0)),"",VLOOKUP(B216,'START LİSTE'!$B$6:$F$1253,2,0))</f>
      </c>
      <c r="D216" s="35">
        <f>IF(ISERROR(VLOOKUP(B216,'START LİSTE'!$B$6:$F$1253,3,0)),"",VLOOKUP(B216,'START LİSTE'!$B$6:$F$1253,3,0))</f>
      </c>
      <c r="E216" s="36">
        <f>IF(ISERROR(VLOOKUP(B216,'START LİSTE'!$B$6:$F$1253,4,0)),"",VLOOKUP(B216,'START LİSTE'!$B$6:$F$1253,4,0))</f>
      </c>
      <c r="F216" s="37">
        <f>IF(ISERROR(VLOOKUP($B216,'START LİSTE'!$B$6:$F$1253,5,0)),"",VLOOKUP($B216,'START LİSTE'!$B$6:$F$1253,5,0))</f>
      </c>
      <c r="G216" s="103"/>
      <c r="H216" s="135">
        <f t="shared" si="7"/>
      </c>
    </row>
    <row r="217" spans="1:8" ht="17.25" customHeight="1">
      <c r="A217" s="34">
        <f t="shared" si="6"/>
      </c>
      <c r="B217" s="102"/>
      <c r="C217" s="35">
        <f>IF(ISERROR(VLOOKUP(B217,'START LİSTE'!$B$6:$F$1253,2,0)),"",VLOOKUP(B217,'START LİSTE'!$B$6:$F$1253,2,0))</f>
      </c>
      <c r="D217" s="35">
        <f>IF(ISERROR(VLOOKUP(B217,'START LİSTE'!$B$6:$F$1253,3,0)),"",VLOOKUP(B217,'START LİSTE'!$B$6:$F$1253,3,0))</f>
      </c>
      <c r="E217" s="36">
        <f>IF(ISERROR(VLOOKUP(B217,'START LİSTE'!$B$6:$F$1253,4,0)),"",VLOOKUP(B217,'START LİSTE'!$B$6:$F$1253,4,0))</f>
      </c>
      <c r="F217" s="37">
        <f>IF(ISERROR(VLOOKUP($B217,'START LİSTE'!$B$6:$F$1253,5,0)),"",VLOOKUP($B217,'START LİSTE'!$B$6:$F$1253,5,0))</f>
      </c>
      <c r="G217" s="103"/>
      <c r="H217" s="135">
        <f t="shared" si="7"/>
      </c>
    </row>
    <row r="218" spans="1:8" ht="17.25" customHeight="1">
      <c r="A218" s="34">
        <f t="shared" si="6"/>
      </c>
      <c r="B218" s="102"/>
      <c r="C218" s="35">
        <f>IF(ISERROR(VLOOKUP(B218,'START LİSTE'!$B$6:$F$1253,2,0)),"",VLOOKUP(B218,'START LİSTE'!$B$6:$F$1253,2,0))</f>
      </c>
      <c r="D218" s="35">
        <f>IF(ISERROR(VLOOKUP(B218,'START LİSTE'!$B$6:$F$1253,3,0)),"",VLOOKUP(B218,'START LİSTE'!$B$6:$F$1253,3,0))</f>
      </c>
      <c r="E218" s="36">
        <f>IF(ISERROR(VLOOKUP(B218,'START LİSTE'!$B$6:$F$1253,4,0)),"",VLOOKUP(B218,'START LİSTE'!$B$6:$F$1253,4,0))</f>
      </c>
      <c r="F218" s="37">
        <f>IF(ISERROR(VLOOKUP($B218,'START LİSTE'!$B$6:$F$1253,5,0)),"",VLOOKUP($B218,'START LİSTE'!$B$6:$F$1253,5,0))</f>
      </c>
      <c r="G218" s="103"/>
      <c r="H218" s="135">
        <f t="shared" si="7"/>
      </c>
    </row>
    <row r="219" spans="1:8" ht="17.25" customHeight="1">
      <c r="A219" s="34">
        <f t="shared" si="6"/>
      </c>
      <c r="B219" s="102"/>
      <c r="C219" s="35">
        <f>IF(ISERROR(VLOOKUP(B219,'START LİSTE'!$B$6:$F$1253,2,0)),"",VLOOKUP(B219,'START LİSTE'!$B$6:$F$1253,2,0))</f>
      </c>
      <c r="D219" s="35">
        <f>IF(ISERROR(VLOOKUP(B219,'START LİSTE'!$B$6:$F$1253,3,0)),"",VLOOKUP(B219,'START LİSTE'!$B$6:$F$1253,3,0))</f>
      </c>
      <c r="E219" s="36">
        <f>IF(ISERROR(VLOOKUP(B219,'START LİSTE'!$B$6:$F$1253,4,0)),"",VLOOKUP(B219,'START LİSTE'!$B$6:$F$1253,4,0))</f>
      </c>
      <c r="F219" s="37">
        <f>IF(ISERROR(VLOOKUP($B219,'START LİSTE'!$B$6:$F$1253,5,0)),"",VLOOKUP($B219,'START LİSTE'!$B$6:$F$1253,5,0))</f>
      </c>
      <c r="G219" s="103"/>
      <c r="H219" s="135">
        <f t="shared" si="7"/>
      </c>
    </row>
    <row r="220" spans="1:8" ht="17.25" customHeight="1">
      <c r="A220" s="34">
        <f t="shared" si="6"/>
      </c>
      <c r="B220" s="102"/>
      <c r="C220" s="35">
        <f>IF(ISERROR(VLOOKUP(B220,'START LİSTE'!$B$6:$F$1253,2,0)),"",VLOOKUP(B220,'START LİSTE'!$B$6:$F$1253,2,0))</f>
      </c>
      <c r="D220" s="35">
        <f>IF(ISERROR(VLOOKUP(B220,'START LİSTE'!$B$6:$F$1253,3,0)),"",VLOOKUP(B220,'START LİSTE'!$B$6:$F$1253,3,0))</f>
      </c>
      <c r="E220" s="36">
        <f>IF(ISERROR(VLOOKUP(B220,'START LİSTE'!$B$6:$F$1253,4,0)),"",VLOOKUP(B220,'START LİSTE'!$B$6:$F$1253,4,0))</f>
      </c>
      <c r="F220" s="37">
        <f>IF(ISERROR(VLOOKUP($B220,'START LİSTE'!$B$6:$F$1253,5,0)),"",VLOOKUP($B220,'START LİSTE'!$B$6:$F$1253,5,0))</f>
      </c>
      <c r="G220" s="103"/>
      <c r="H220" s="135">
        <f t="shared" si="7"/>
      </c>
    </row>
    <row r="221" spans="1:8" ht="17.25" customHeight="1">
      <c r="A221" s="34">
        <f t="shared" si="6"/>
      </c>
      <c r="B221" s="102"/>
      <c r="C221" s="35">
        <f>IF(ISERROR(VLOOKUP(B221,'START LİSTE'!$B$6:$F$1253,2,0)),"",VLOOKUP(B221,'START LİSTE'!$B$6:$F$1253,2,0))</f>
      </c>
      <c r="D221" s="35">
        <f>IF(ISERROR(VLOOKUP(B221,'START LİSTE'!$B$6:$F$1253,3,0)),"",VLOOKUP(B221,'START LİSTE'!$B$6:$F$1253,3,0))</f>
      </c>
      <c r="E221" s="36">
        <f>IF(ISERROR(VLOOKUP(B221,'START LİSTE'!$B$6:$F$1253,4,0)),"",VLOOKUP(B221,'START LİSTE'!$B$6:$F$1253,4,0))</f>
      </c>
      <c r="F221" s="37">
        <f>IF(ISERROR(VLOOKUP($B221,'START LİSTE'!$B$6:$F$1253,5,0)),"",VLOOKUP($B221,'START LİSTE'!$B$6:$F$1253,5,0))</f>
      </c>
      <c r="G221" s="103"/>
      <c r="H221" s="135">
        <f t="shared" si="7"/>
      </c>
    </row>
    <row r="222" spans="1:8" ht="17.25" customHeight="1">
      <c r="A222" s="34">
        <f t="shared" si="6"/>
      </c>
      <c r="B222" s="102"/>
      <c r="C222" s="35">
        <f>IF(ISERROR(VLOOKUP(B222,'START LİSTE'!$B$6:$F$1253,2,0)),"",VLOOKUP(B222,'START LİSTE'!$B$6:$F$1253,2,0))</f>
      </c>
      <c r="D222" s="35">
        <f>IF(ISERROR(VLOOKUP(B222,'START LİSTE'!$B$6:$F$1253,3,0)),"",VLOOKUP(B222,'START LİSTE'!$B$6:$F$1253,3,0))</f>
      </c>
      <c r="E222" s="36">
        <f>IF(ISERROR(VLOOKUP(B222,'START LİSTE'!$B$6:$F$1253,4,0)),"",VLOOKUP(B222,'START LİSTE'!$B$6:$F$1253,4,0))</f>
      </c>
      <c r="F222" s="37">
        <f>IF(ISERROR(VLOOKUP($B222,'START LİSTE'!$B$6:$F$1253,5,0)),"",VLOOKUP($B222,'START LİSTE'!$B$6:$F$1253,5,0))</f>
      </c>
      <c r="G222" s="103"/>
      <c r="H222" s="135">
        <f t="shared" si="7"/>
      </c>
    </row>
    <row r="223" spans="1:8" ht="17.25" customHeight="1">
      <c r="A223" s="34">
        <f t="shared" si="6"/>
      </c>
      <c r="B223" s="102"/>
      <c r="C223" s="35">
        <f>IF(ISERROR(VLOOKUP(B223,'START LİSTE'!$B$6:$F$1253,2,0)),"",VLOOKUP(B223,'START LİSTE'!$B$6:$F$1253,2,0))</f>
      </c>
      <c r="D223" s="35">
        <f>IF(ISERROR(VLOOKUP(B223,'START LİSTE'!$B$6:$F$1253,3,0)),"",VLOOKUP(B223,'START LİSTE'!$B$6:$F$1253,3,0))</f>
      </c>
      <c r="E223" s="36">
        <f>IF(ISERROR(VLOOKUP(B223,'START LİSTE'!$B$6:$F$1253,4,0)),"",VLOOKUP(B223,'START LİSTE'!$B$6:$F$1253,4,0))</f>
      </c>
      <c r="F223" s="37">
        <f>IF(ISERROR(VLOOKUP($B223,'START LİSTE'!$B$6:$F$1253,5,0)),"",VLOOKUP($B223,'START LİSTE'!$B$6:$F$1253,5,0))</f>
      </c>
      <c r="G223" s="103"/>
      <c r="H223" s="135">
        <f t="shared" si="7"/>
      </c>
    </row>
    <row r="224" spans="1:8" ht="17.25" customHeight="1">
      <c r="A224" s="34">
        <f t="shared" si="6"/>
      </c>
      <c r="B224" s="102"/>
      <c r="C224" s="35">
        <f>IF(ISERROR(VLOOKUP(B224,'START LİSTE'!$B$6:$F$1253,2,0)),"",VLOOKUP(B224,'START LİSTE'!$B$6:$F$1253,2,0))</f>
      </c>
      <c r="D224" s="35">
        <f>IF(ISERROR(VLOOKUP(B224,'START LİSTE'!$B$6:$F$1253,3,0)),"",VLOOKUP(B224,'START LİSTE'!$B$6:$F$1253,3,0))</f>
      </c>
      <c r="E224" s="36">
        <f>IF(ISERROR(VLOOKUP(B224,'START LİSTE'!$B$6:$F$1253,4,0)),"",VLOOKUP(B224,'START LİSTE'!$B$6:$F$1253,4,0))</f>
      </c>
      <c r="F224" s="37">
        <f>IF(ISERROR(VLOOKUP($B224,'START LİSTE'!$B$6:$F$1253,5,0)),"",VLOOKUP($B224,'START LİSTE'!$B$6:$F$1253,5,0))</f>
      </c>
      <c r="G224" s="103"/>
      <c r="H224" s="135">
        <f t="shared" si="7"/>
      </c>
    </row>
    <row r="225" spans="1:8" ht="17.25" customHeight="1">
      <c r="A225" s="34">
        <f t="shared" si="6"/>
      </c>
      <c r="B225" s="102"/>
      <c r="C225" s="35">
        <f>IF(ISERROR(VLOOKUP(B225,'START LİSTE'!$B$6:$F$1253,2,0)),"",VLOOKUP(B225,'START LİSTE'!$B$6:$F$1253,2,0))</f>
      </c>
      <c r="D225" s="35">
        <f>IF(ISERROR(VLOOKUP(B225,'START LİSTE'!$B$6:$F$1253,3,0)),"",VLOOKUP(B225,'START LİSTE'!$B$6:$F$1253,3,0))</f>
      </c>
      <c r="E225" s="36">
        <f>IF(ISERROR(VLOOKUP(B225,'START LİSTE'!$B$6:$F$1253,4,0)),"",VLOOKUP(B225,'START LİSTE'!$B$6:$F$1253,4,0))</f>
      </c>
      <c r="F225" s="37">
        <f>IF(ISERROR(VLOOKUP($B225,'START LİSTE'!$B$6:$F$1253,5,0)),"",VLOOKUP($B225,'START LİSTE'!$B$6:$F$1253,5,0))</f>
      </c>
      <c r="G225" s="103"/>
      <c r="H225" s="135">
        <f t="shared" si="7"/>
      </c>
    </row>
    <row r="226" spans="1:8" ht="17.25" customHeight="1">
      <c r="A226" s="34">
        <f t="shared" si="6"/>
      </c>
      <c r="B226" s="102"/>
      <c r="C226" s="35">
        <f>IF(ISERROR(VLOOKUP(B226,'START LİSTE'!$B$6:$F$1253,2,0)),"",VLOOKUP(B226,'START LİSTE'!$B$6:$F$1253,2,0))</f>
      </c>
      <c r="D226" s="35">
        <f>IF(ISERROR(VLOOKUP(B226,'START LİSTE'!$B$6:$F$1253,3,0)),"",VLOOKUP(B226,'START LİSTE'!$B$6:$F$1253,3,0))</f>
      </c>
      <c r="E226" s="36">
        <f>IF(ISERROR(VLOOKUP(B226,'START LİSTE'!$B$6:$F$1253,4,0)),"",VLOOKUP(B226,'START LİSTE'!$B$6:$F$1253,4,0))</f>
      </c>
      <c r="F226" s="37">
        <f>IF(ISERROR(VLOOKUP($B226,'START LİSTE'!$B$6:$F$1253,5,0)),"",VLOOKUP($B226,'START LİSTE'!$B$6:$F$1253,5,0))</f>
      </c>
      <c r="G226" s="103"/>
      <c r="H226" s="135">
        <f t="shared" si="7"/>
      </c>
    </row>
    <row r="227" spans="1:8" ht="17.25" customHeight="1">
      <c r="A227" s="34">
        <f t="shared" si="6"/>
      </c>
      <c r="B227" s="102"/>
      <c r="C227" s="35">
        <f>IF(ISERROR(VLOOKUP(B227,'START LİSTE'!$B$6:$F$1253,2,0)),"",VLOOKUP(B227,'START LİSTE'!$B$6:$F$1253,2,0))</f>
      </c>
      <c r="D227" s="35">
        <f>IF(ISERROR(VLOOKUP(B227,'START LİSTE'!$B$6:$F$1253,3,0)),"",VLOOKUP(B227,'START LİSTE'!$B$6:$F$1253,3,0))</f>
      </c>
      <c r="E227" s="36">
        <f>IF(ISERROR(VLOOKUP(B227,'START LİSTE'!$B$6:$F$1253,4,0)),"",VLOOKUP(B227,'START LİSTE'!$B$6:$F$1253,4,0))</f>
      </c>
      <c r="F227" s="37">
        <f>IF(ISERROR(VLOOKUP($B227,'START LİSTE'!$B$6:$F$1253,5,0)),"",VLOOKUP($B227,'START LİSTE'!$B$6:$F$1253,5,0))</f>
      </c>
      <c r="G227" s="103"/>
      <c r="H227" s="135">
        <f t="shared" si="7"/>
      </c>
    </row>
    <row r="228" spans="1:8" ht="17.25" customHeight="1">
      <c r="A228" s="34">
        <f t="shared" si="6"/>
      </c>
      <c r="B228" s="102"/>
      <c r="C228" s="35">
        <f>IF(ISERROR(VLOOKUP(B228,'START LİSTE'!$B$6:$F$1253,2,0)),"",VLOOKUP(B228,'START LİSTE'!$B$6:$F$1253,2,0))</f>
      </c>
      <c r="D228" s="35">
        <f>IF(ISERROR(VLOOKUP(B228,'START LİSTE'!$B$6:$F$1253,3,0)),"",VLOOKUP(B228,'START LİSTE'!$B$6:$F$1253,3,0))</f>
      </c>
      <c r="E228" s="36">
        <f>IF(ISERROR(VLOOKUP(B228,'START LİSTE'!$B$6:$F$1253,4,0)),"",VLOOKUP(B228,'START LİSTE'!$B$6:$F$1253,4,0))</f>
      </c>
      <c r="F228" s="37">
        <f>IF(ISERROR(VLOOKUP($B228,'START LİSTE'!$B$6:$F$1253,5,0)),"",VLOOKUP($B228,'START LİSTE'!$B$6:$F$1253,5,0))</f>
      </c>
      <c r="G228" s="103"/>
      <c r="H228" s="135">
        <f t="shared" si="7"/>
      </c>
    </row>
    <row r="229" spans="1:8" ht="17.25" customHeight="1">
      <c r="A229" s="34">
        <f t="shared" si="6"/>
      </c>
      <c r="B229" s="102"/>
      <c r="C229" s="35">
        <f>IF(ISERROR(VLOOKUP(B229,'START LİSTE'!$B$6:$F$1253,2,0)),"",VLOOKUP(B229,'START LİSTE'!$B$6:$F$1253,2,0))</f>
      </c>
      <c r="D229" s="35">
        <f>IF(ISERROR(VLOOKUP(B229,'START LİSTE'!$B$6:$F$1253,3,0)),"",VLOOKUP(B229,'START LİSTE'!$B$6:$F$1253,3,0))</f>
      </c>
      <c r="E229" s="36">
        <f>IF(ISERROR(VLOOKUP(B229,'START LİSTE'!$B$6:$F$1253,4,0)),"",VLOOKUP(B229,'START LİSTE'!$B$6:$F$1253,4,0))</f>
      </c>
      <c r="F229" s="37">
        <f>IF(ISERROR(VLOOKUP($B229,'START LİSTE'!$B$6:$F$1253,5,0)),"",VLOOKUP($B229,'START LİSTE'!$B$6:$F$1253,5,0))</f>
      </c>
      <c r="G229" s="103"/>
      <c r="H229" s="135">
        <f t="shared" si="7"/>
      </c>
    </row>
    <row r="230" spans="1:8" ht="17.25" customHeight="1">
      <c r="A230" s="34">
        <f t="shared" si="6"/>
      </c>
      <c r="B230" s="102"/>
      <c r="C230" s="35">
        <f>IF(ISERROR(VLOOKUP(B230,'START LİSTE'!$B$6:$F$1253,2,0)),"",VLOOKUP(B230,'START LİSTE'!$B$6:$F$1253,2,0))</f>
      </c>
      <c r="D230" s="35">
        <f>IF(ISERROR(VLOOKUP(B230,'START LİSTE'!$B$6:$F$1253,3,0)),"",VLOOKUP(B230,'START LİSTE'!$B$6:$F$1253,3,0))</f>
      </c>
      <c r="E230" s="36">
        <f>IF(ISERROR(VLOOKUP(B230,'START LİSTE'!$B$6:$F$1253,4,0)),"",VLOOKUP(B230,'START LİSTE'!$B$6:$F$1253,4,0))</f>
      </c>
      <c r="F230" s="37">
        <f>IF(ISERROR(VLOOKUP($B230,'START LİSTE'!$B$6:$F$1253,5,0)),"",VLOOKUP($B230,'START LİSTE'!$B$6:$F$1253,5,0))</f>
      </c>
      <c r="G230" s="103"/>
      <c r="H230" s="135">
        <f t="shared" si="7"/>
      </c>
    </row>
    <row r="231" spans="1:8" ht="17.25" customHeight="1">
      <c r="A231" s="34">
        <f t="shared" si="6"/>
      </c>
      <c r="B231" s="102"/>
      <c r="C231" s="35">
        <f>IF(ISERROR(VLOOKUP(B231,'START LİSTE'!$B$6:$F$1253,2,0)),"",VLOOKUP(B231,'START LİSTE'!$B$6:$F$1253,2,0))</f>
      </c>
      <c r="D231" s="35">
        <f>IF(ISERROR(VLOOKUP(B231,'START LİSTE'!$B$6:$F$1253,3,0)),"",VLOOKUP(B231,'START LİSTE'!$B$6:$F$1253,3,0))</f>
      </c>
      <c r="E231" s="36">
        <f>IF(ISERROR(VLOOKUP(B231,'START LİSTE'!$B$6:$F$1253,4,0)),"",VLOOKUP(B231,'START LİSTE'!$B$6:$F$1253,4,0))</f>
      </c>
      <c r="F231" s="37">
        <f>IF(ISERROR(VLOOKUP($B231,'START LİSTE'!$B$6:$F$1253,5,0)),"",VLOOKUP($B231,'START LİSTE'!$B$6:$F$1253,5,0))</f>
      </c>
      <c r="G231" s="103"/>
      <c r="H231" s="135">
        <f t="shared" si="7"/>
      </c>
    </row>
    <row r="232" spans="1:8" ht="17.25" customHeight="1">
      <c r="A232" s="34">
        <f t="shared" si="6"/>
      </c>
      <c r="B232" s="102"/>
      <c r="C232" s="35">
        <f>IF(ISERROR(VLOOKUP(B232,'START LİSTE'!$B$6:$F$1253,2,0)),"",VLOOKUP(B232,'START LİSTE'!$B$6:$F$1253,2,0))</f>
      </c>
      <c r="D232" s="35">
        <f>IF(ISERROR(VLOOKUP(B232,'START LİSTE'!$B$6:$F$1253,3,0)),"",VLOOKUP(B232,'START LİSTE'!$B$6:$F$1253,3,0))</f>
      </c>
      <c r="E232" s="36">
        <f>IF(ISERROR(VLOOKUP(B232,'START LİSTE'!$B$6:$F$1253,4,0)),"",VLOOKUP(B232,'START LİSTE'!$B$6:$F$1253,4,0))</f>
      </c>
      <c r="F232" s="37">
        <f>IF(ISERROR(VLOOKUP($B232,'START LİSTE'!$B$6:$F$1253,5,0)),"",VLOOKUP($B232,'START LİSTE'!$B$6:$F$1253,5,0))</f>
      </c>
      <c r="G232" s="103"/>
      <c r="H232" s="135">
        <f t="shared" si="7"/>
      </c>
    </row>
    <row r="233" spans="1:8" ht="17.25" customHeight="1">
      <c r="A233" s="34">
        <f t="shared" si="6"/>
      </c>
      <c r="B233" s="102"/>
      <c r="C233" s="35">
        <f>IF(ISERROR(VLOOKUP(B233,'START LİSTE'!$B$6:$F$1253,2,0)),"",VLOOKUP(B233,'START LİSTE'!$B$6:$F$1253,2,0))</f>
      </c>
      <c r="D233" s="35">
        <f>IF(ISERROR(VLOOKUP(B233,'START LİSTE'!$B$6:$F$1253,3,0)),"",VLOOKUP(B233,'START LİSTE'!$B$6:$F$1253,3,0))</f>
      </c>
      <c r="E233" s="36">
        <f>IF(ISERROR(VLOOKUP(B233,'START LİSTE'!$B$6:$F$1253,4,0)),"",VLOOKUP(B233,'START LİSTE'!$B$6:$F$1253,4,0))</f>
      </c>
      <c r="F233" s="37">
        <f>IF(ISERROR(VLOOKUP($B233,'START LİSTE'!$B$6:$F$1253,5,0)),"",VLOOKUP($B233,'START LİSTE'!$B$6:$F$1253,5,0))</f>
      </c>
      <c r="G233" s="103"/>
      <c r="H233" s="135">
        <f t="shared" si="7"/>
      </c>
    </row>
    <row r="234" spans="1:8" ht="17.25" customHeight="1">
      <c r="A234" s="34">
        <f t="shared" si="6"/>
      </c>
      <c r="B234" s="102"/>
      <c r="C234" s="35">
        <f>IF(ISERROR(VLOOKUP(B234,'START LİSTE'!$B$6:$F$1253,2,0)),"",VLOOKUP(B234,'START LİSTE'!$B$6:$F$1253,2,0))</f>
      </c>
      <c r="D234" s="35">
        <f>IF(ISERROR(VLOOKUP(B234,'START LİSTE'!$B$6:$F$1253,3,0)),"",VLOOKUP(B234,'START LİSTE'!$B$6:$F$1253,3,0))</f>
      </c>
      <c r="E234" s="36">
        <f>IF(ISERROR(VLOOKUP(B234,'START LİSTE'!$B$6:$F$1253,4,0)),"",VLOOKUP(B234,'START LİSTE'!$B$6:$F$1253,4,0))</f>
      </c>
      <c r="F234" s="37">
        <f>IF(ISERROR(VLOOKUP($B234,'START LİSTE'!$B$6:$F$1253,5,0)),"",VLOOKUP($B234,'START LİSTE'!$B$6:$F$1253,5,0))</f>
      </c>
      <c r="G234" s="103"/>
      <c r="H234" s="135">
        <f t="shared" si="7"/>
      </c>
    </row>
    <row r="235" spans="1:8" ht="17.25" customHeight="1">
      <c r="A235" s="34">
        <f t="shared" si="6"/>
      </c>
      <c r="B235" s="102"/>
      <c r="C235" s="35">
        <f>IF(ISERROR(VLOOKUP(B235,'START LİSTE'!$B$6:$F$1253,2,0)),"",VLOOKUP(B235,'START LİSTE'!$B$6:$F$1253,2,0))</f>
      </c>
      <c r="D235" s="35">
        <f>IF(ISERROR(VLOOKUP(B235,'START LİSTE'!$B$6:$F$1253,3,0)),"",VLOOKUP(B235,'START LİSTE'!$B$6:$F$1253,3,0))</f>
      </c>
      <c r="E235" s="36">
        <f>IF(ISERROR(VLOOKUP(B235,'START LİSTE'!$B$6:$F$1253,4,0)),"",VLOOKUP(B235,'START LİSTE'!$B$6:$F$1253,4,0))</f>
      </c>
      <c r="F235" s="37">
        <f>IF(ISERROR(VLOOKUP($B235,'START LİSTE'!$B$6:$F$1253,5,0)),"",VLOOKUP($B235,'START LİSTE'!$B$6:$F$1253,5,0))</f>
      </c>
      <c r="G235" s="103"/>
      <c r="H235" s="135">
        <f t="shared" si="7"/>
      </c>
    </row>
    <row r="236" spans="1:8" ht="17.25" customHeight="1">
      <c r="A236" s="34">
        <f t="shared" si="6"/>
      </c>
      <c r="B236" s="102"/>
      <c r="C236" s="35">
        <f>IF(ISERROR(VLOOKUP(B236,'START LİSTE'!$B$6:$F$1253,2,0)),"",VLOOKUP(B236,'START LİSTE'!$B$6:$F$1253,2,0))</f>
      </c>
      <c r="D236" s="35">
        <f>IF(ISERROR(VLOOKUP(B236,'START LİSTE'!$B$6:$F$1253,3,0)),"",VLOOKUP(B236,'START LİSTE'!$B$6:$F$1253,3,0))</f>
      </c>
      <c r="E236" s="36">
        <f>IF(ISERROR(VLOOKUP(B236,'START LİSTE'!$B$6:$F$1253,4,0)),"",VLOOKUP(B236,'START LİSTE'!$B$6:$F$1253,4,0))</f>
      </c>
      <c r="F236" s="37">
        <f>IF(ISERROR(VLOOKUP($B236,'START LİSTE'!$B$6:$F$1253,5,0)),"",VLOOKUP($B236,'START LİSTE'!$B$6:$F$1253,5,0))</f>
      </c>
      <c r="G236" s="103"/>
      <c r="H236" s="135">
        <f t="shared" si="7"/>
      </c>
    </row>
    <row r="237" spans="1:8" ht="17.25" customHeight="1">
      <c r="A237" s="34">
        <f t="shared" si="6"/>
      </c>
      <c r="B237" s="102"/>
      <c r="C237" s="35">
        <f>IF(ISERROR(VLOOKUP(B237,'START LİSTE'!$B$6:$F$1253,2,0)),"",VLOOKUP(B237,'START LİSTE'!$B$6:$F$1253,2,0))</f>
      </c>
      <c r="D237" s="35">
        <f>IF(ISERROR(VLOOKUP(B237,'START LİSTE'!$B$6:$F$1253,3,0)),"",VLOOKUP(B237,'START LİSTE'!$B$6:$F$1253,3,0))</f>
      </c>
      <c r="E237" s="36">
        <f>IF(ISERROR(VLOOKUP(B237,'START LİSTE'!$B$6:$F$1253,4,0)),"",VLOOKUP(B237,'START LİSTE'!$B$6:$F$1253,4,0))</f>
      </c>
      <c r="F237" s="37">
        <f>IF(ISERROR(VLOOKUP($B237,'START LİSTE'!$B$6:$F$1253,5,0)),"",VLOOKUP($B237,'START LİSTE'!$B$6:$F$1253,5,0))</f>
      </c>
      <c r="G237" s="103"/>
      <c r="H237" s="135">
        <f t="shared" si="7"/>
      </c>
    </row>
    <row r="238" spans="1:8" ht="17.25" customHeight="1">
      <c r="A238" s="34">
        <f t="shared" si="6"/>
      </c>
      <c r="B238" s="102"/>
      <c r="C238" s="35">
        <f>IF(ISERROR(VLOOKUP(B238,'START LİSTE'!$B$6:$F$1253,2,0)),"",VLOOKUP(B238,'START LİSTE'!$B$6:$F$1253,2,0))</f>
      </c>
      <c r="D238" s="35">
        <f>IF(ISERROR(VLOOKUP(B238,'START LİSTE'!$B$6:$F$1253,3,0)),"",VLOOKUP(B238,'START LİSTE'!$B$6:$F$1253,3,0))</f>
      </c>
      <c r="E238" s="36">
        <f>IF(ISERROR(VLOOKUP(B238,'START LİSTE'!$B$6:$F$1253,4,0)),"",VLOOKUP(B238,'START LİSTE'!$B$6:$F$1253,4,0))</f>
      </c>
      <c r="F238" s="37">
        <f>IF(ISERROR(VLOOKUP($B238,'START LİSTE'!$B$6:$F$1253,5,0)),"",VLOOKUP($B238,'START LİSTE'!$B$6:$F$1253,5,0))</f>
      </c>
      <c r="G238" s="103"/>
      <c r="H238" s="135">
        <f t="shared" si="7"/>
      </c>
    </row>
    <row r="239" spans="1:8" ht="17.25" customHeight="1">
      <c r="A239" s="34">
        <f t="shared" si="6"/>
      </c>
      <c r="B239" s="102"/>
      <c r="C239" s="35">
        <f>IF(ISERROR(VLOOKUP(B239,'START LİSTE'!$B$6:$F$1253,2,0)),"",VLOOKUP(B239,'START LİSTE'!$B$6:$F$1253,2,0))</f>
      </c>
      <c r="D239" s="35">
        <f>IF(ISERROR(VLOOKUP(B239,'START LİSTE'!$B$6:$F$1253,3,0)),"",VLOOKUP(B239,'START LİSTE'!$B$6:$F$1253,3,0))</f>
      </c>
      <c r="E239" s="36">
        <f>IF(ISERROR(VLOOKUP(B239,'START LİSTE'!$B$6:$F$1253,4,0)),"",VLOOKUP(B239,'START LİSTE'!$B$6:$F$1253,4,0))</f>
      </c>
      <c r="F239" s="37">
        <f>IF(ISERROR(VLOOKUP($B239,'START LİSTE'!$B$6:$F$1253,5,0)),"",VLOOKUP($B239,'START LİSTE'!$B$6:$F$1253,5,0))</f>
      </c>
      <c r="G239" s="103"/>
      <c r="H239" s="135">
        <f t="shared" si="7"/>
      </c>
    </row>
    <row r="240" spans="1:8" ht="17.25" customHeight="1">
      <c r="A240" s="34">
        <f t="shared" si="6"/>
      </c>
      <c r="B240" s="102"/>
      <c r="C240" s="35">
        <f>IF(ISERROR(VLOOKUP(B240,'START LİSTE'!$B$6:$F$1253,2,0)),"",VLOOKUP(B240,'START LİSTE'!$B$6:$F$1253,2,0))</f>
      </c>
      <c r="D240" s="35">
        <f>IF(ISERROR(VLOOKUP(B240,'START LİSTE'!$B$6:$F$1253,3,0)),"",VLOOKUP(B240,'START LİSTE'!$B$6:$F$1253,3,0))</f>
      </c>
      <c r="E240" s="36">
        <f>IF(ISERROR(VLOOKUP(B240,'START LİSTE'!$B$6:$F$1253,4,0)),"",VLOOKUP(B240,'START LİSTE'!$B$6:$F$1253,4,0))</f>
      </c>
      <c r="F240" s="37">
        <f>IF(ISERROR(VLOOKUP($B240,'START LİSTE'!$B$6:$F$1253,5,0)),"",VLOOKUP($B240,'START LİSTE'!$B$6:$F$1253,5,0))</f>
      </c>
      <c r="G240" s="103"/>
      <c r="H240" s="135">
        <f t="shared" si="7"/>
      </c>
    </row>
    <row r="241" spans="1:8" ht="17.25" customHeight="1">
      <c r="A241" s="34">
        <f t="shared" si="6"/>
      </c>
      <c r="B241" s="102"/>
      <c r="C241" s="35">
        <f>IF(ISERROR(VLOOKUP(B241,'START LİSTE'!$B$6:$F$1253,2,0)),"",VLOOKUP(B241,'START LİSTE'!$B$6:$F$1253,2,0))</f>
      </c>
      <c r="D241" s="35">
        <f>IF(ISERROR(VLOOKUP(B241,'START LİSTE'!$B$6:$F$1253,3,0)),"",VLOOKUP(B241,'START LİSTE'!$B$6:$F$1253,3,0))</f>
      </c>
      <c r="E241" s="36">
        <f>IF(ISERROR(VLOOKUP(B241,'START LİSTE'!$B$6:$F$1253,4,0)),"",VLOOKUP(B241,'START LİSTE'!$B$6:$F$1253,4,0))</f>
      </c>
      <c r="F241" s="37">
        <f>IF(ISERROR(VLOOKUP($B241,'START LİSTE'!$B$6:$F$1253,5,0)),"",VLOOKUP($B241,'START LİSTE'!$B$6:$F$1253,5,0))</f>
      </c>
      <c r="G241" s="103"/>
      <c r="H241" s="135">
        <f t="shared" si="7"/>
      </c>
    </row>
    <row r="242" spans="1:8" ht="17.25" customHeight="1">
      <c r="A242" s="34">
        <f t="shared" si="6"/>
      </c>
      <c r="B242" s="102"/>
      <c r="C242" s="35">
        <f>IF(ISERROR(VLOOKUP(B242,'START LİSTE'!$B$6:$F$1253,2,0)),"",VLOOKUP(B242,'START LİSTE'!$B$6:$F$1253,2,0))</f>
      </c>
      <c r="D242" s="35">
        <f>IF(ISERROR(VLOOKUP(B242,'START LİSTE'!$B$6:$F$1253,3,0)),"",VLOOKUP(B242,'START LİSTE'!$B$6:$F$1253,3,0))</f>
      </c>
      <c r="E242" s="36">
        <f>IF(ISERROR(VLOOKUP(B242,'START LİSTE'!$B$6:$F$1253,4,0)),"",VLOOKUP(B242,'START LİSTE'!$B$6:$F$1253,4,0))</f>
      </c>
      <c r="F242" s="37">
        <f>IF(ISERROR(VLOOKUP($B242,'START LİSTE'!$B$6:$F$1253,5,0)),"",VLOOKUP($B242,'START LİSTE'!$B$6:$F$1253,5,0))</f>
      </c>
      <c r="G242" s="103"/>
      <c r="H242" s="135">
        <f t="shared" si="7"/>
      </c>
    </row>
    <row r="243" spans="1:8" ht="17.25" customHeight="1">
      <c r="A243" s="34">
        <f t="shared" si="6"/>
      </c>
      <c r="B243" s="102"/>
      <c r="C243" s="35">
        <f>IF(ISERROR(VLOOKUP(B243,'START LİSTE'!$B$6:$F$1253,2,0)),"",VLOOKUP(B243,'START LİSTE'!$B$6:$F$1253,2,0))</f>
      </c>
      <c r="D243" s="35">
        <f>IF(ISERROR(VLOOKUP(B243,'START LİSTE'!$B$6:$F$1253,3,0)),"",VLOOKUP(B243,'START LİSTE'!$B$6:$F$1253,3,0))</f>
      </c>
      <c r="E243" s="36">
        <f>IF(ISERROR(VLOOKUP(B243,'START LİSTE'!$B$6:$F$1253,4,0)),"",VLOOKUP(B243,'START LİSTE'!$B$6:$F$1253,4,0))</f>
      </c>
      <c r="F243" s="37">
        <f>IF(ISERROR(VLOOKUP($B243,'START LİSTE'!$B$6:$F$1253,5,0)),"",VLOOKUP($B243,'START LİSTE'!$B$6:$F$1253,5,0))</f>
      </c>
      <c r="G243" s="103"/>
      <c r="H243" s="135">
        <f t="shared" si="7"/>
      </c>
    </row>
    <row r="244" spans="1:8" ht="17.25" customHeight="1">
      <c r="A244" s="34">
        <f t="shared" si="6"/>
      </c>
      <c r="B244" s="102"/>
      <c r="C244" s="35">
        <f>IF(ISERROR(VLOOKUP(B244,'START LİSTE'!$B$6:$F$1253,2,0)),"",VLOOKUP(B244,'START LİSTE'!$B$6:$F$1253,2,0))</f>
      </c>
      <c r="D244" s="35">
        <f>IF(ISERROR(VLOOKUP(B244,'START LİSTE'!$B$6:$F$1253,3,0)),"",VLOOKUP(B244,'START LİSTE'!$B$6:$F$1253,3,0))</f>
      </c>
      <c r="E244" s="36">
        <f>IF(ISERROR(VLOOKUP(B244,'START LİSTE'!$B$6:$F$1253,4,0)),"",VLOOKUP(B244,'START LİSTE'!$B$6:$F$1253,4,0))</f>
      </c>
      <c r="F244" s="37">
        <f>IF(ISERROR(VLOOKUP($B244,'START LİSTE'!$B$6:$F$1253,5,0)),"",VLOOKUP($B244,'START LİSTE'!$B$6:$F$1253,5,0))</f>
      </c>
      <c r="G244" s="103"/>
      <c r="H244" s="135">
        <f t="shared" si="7"/>
      </c>
    </row>
    <row r="245" spans="1:8" ht="17.25" customHeight="1">
      <c r="A245" s="34">
        <f t="shared" si="6"/>
      </c>
      <c r="B245" s="102"/>
      <c r="C245" s="35">
        <f>IF(ISERROR(VLOOKUP(B245,'START LİSTE'!$B$6:$F$1253,2,0)),"",VLOOKUP(B245,'START LİSTE'!$B$6:$F$1253,2,0))</f>
      </c>
      <c r="D245" s="35">
        <f>IF(ISERROR(VLOOKUP(B245,'START LİSTE'!$B$6:$F$1253,3,0)),"",VLOOKUP(B245,'START LİSTE'!$B$6:$F$1253,3,0))</f>
      </c>
      <c r="E245" s="36">
        <f>IF(ISERROR(VLOOKUP(B245,'START LİSTE'!$B$6:$F$1253,4,0)),"",VLOOKUP(B245,'START LİSTE'!$B$6:$F$1253,4,0))</f>
      </c>
      <c r="F245" s="37">
        <f>IF(ISERROR(VLOOKUP($B245,'START LİSTE'!$B$6:$F$1253,5,0)),"",VLOOKUP($B245,'START LİSTE'!$B$6:$F$1253,5,0))</f>
      </c>
      <c r="G245" s="103"/>
      <c r="H245" s="135">
        <f t="shared" si="7"/>
      </c>
    </row>
    <row r="246" spans="1:8" ht="17.25" customHeight="1">
      <c r="A246" s="34">
        <f t="shared" si="6"/>
      </c>
      <c r="B246" s="102"/>
      <c r="C246" s="35">
        <f>IF(ISERROR(VLOOKUP(B246,'START LİSTE'!$B$6:$F$1253,2,0)),"",VLOOKUP(B246,'START LİSTE'!$B$6:$F$1253,2,0))</f>
      </c>
      <c r="D246" s="35">
        <f>IF(ISERROR(VLOOKUP(B246,'START LİSTE'!$B$6:$F$1253,3,0)),"",VLOOKUP(B246,'START LİSTE'!$B$6:$F$1253,3,0))</f>
      </c>
      <c r="E246" s="36">
        <f>IF(ISERROR(VLOOKUP(B246,'START LİSTE'!$B$6:$F$1253,4,0)),"",VLOOKUP(B246,'START LİSTE'!$B$6:$F$1253,4,0))</f>
      </c>
      <c r="F246" s="37">
        <f>IF(ISERROR(VLOOKUP($B246,'START LİSTE'!$B$6:$F$1253,5,0)),"",VLOOKUP($B246,'START LİSTE'!$B$6:$F$1253,5,0))</f>
      </c>
      <c r="G246" s="103"/>
      <c r="H246" s="135">
        <f t="shared" si="7"/>
      </c>
    </row>
    <row r="247" spans="1:8" ht="17.25" customHeight="1">
      <c r="A247" s="34">
        <f t="shared" si="6"/>
      </c>
      <c r="B247" s="102"/>
      <c r="C247" s="35">
        <f>IF(ISERROR(VLOOKUP(B247,'START LİSTE'!$B$6:$F$1253,2,0)),"",VLOOKUP(B247,'START LİSTE'!$B$6:$F$1253,2,0))</f>
      </c>
      <c r="D247" s="35">
        <f>IF(ISERROR(VLOOKUP(B247,'START LİSTE'!$B$6:$F$1253,3,0)),"",VLOOKUP(B247,'START LİSTE'!$B$6:$F$1253,3,0))</f>
      </c>
      <c r="E247" s="36">
        <f>IF(ISERROR(VLOOKUP(B247,'START LİSTE'!$B$6:$F$1253,4,0)),"",VLOOKUP(B247,'START LİSTE'!$B$6:$F$1253,4,0))</f>
      </c>
      <c r="F247" s="37">
        <f>IF(ISERROR(VLOOKUP($B247,'START LİSTE'!$B$6:$F$1253,5,0)),"",VLOOKUP($B247,'START LİSTE'!$B$6:$F$1253,5,0))</f>
      </c>
      <c r="G247" s="103"/>
      <c r="H247" s="135">
        <f t="shared" si="7"/>
      </c>
    </row>
    <row r="248" spans="1:8" ht="17.25" customHeight="1">
      <c r="A248" s="34">
        <f t="shared" si="6"/>
      </c>
      <c r="B248" s="102"/>
      <c r="C248" s="35">
        <f>IF(ISERROR(VLOOKUP(B248,'START LİSTE'!$B$6:$F$1253,2,0)),"",VLOOKUP(B248,'START LİSTE'!$B$6:$F$1253,2,0))</f>
      </c>
      <c r="D248" s="35">
        <f>IF(ISERROR(VLOOKUP(B248,'START LİSTE'!$B$6:$F$1253,3,0)),"",VLOOKUP(B248,'START LİSTE'!$B$6:$F$1253,3,0))</f>
      </c>
      <c r="E248" s="36">
        <f>IF(ISERROR(VLOOKUP(B248,'START LİSTE'!$B$6:$F$1253,4,0)),"",VLOOKUP(B248,'START LİSTE'!$B$6:$F$1253,4,0))</f>
      </c>
      <c r="F248" s="37">
        <f>IF(ISERROR(VLOOKUP($B248,'START LİSTE'!$B$6:$F$1253,5,0)),"",VLOOKUP($B248,'START LİSTE'!$B$6:$F$1253,5,0))</f>
      </c>
      <c r="G248" s="103"/>
      <c r="H248" s="135">
        <f t="shared" si="7"/>
      </c>
    </row>
    <row r="249" spans="1:8" ht="17.25" customHeight="1">
      <c r="A249" s="34">
        <f t="shared" si="6"/>
      </c>
      <c r="B249" s="102"/>
      <c r="C249" s="35">
        <f>IF(ISERROR(VLOOKUP(B249,'START LİSTE'!$B$6:$F$1253,2,0)),"",VLOOKUP(B249,'START LİSTE'!$B$6:$F$1253,2,0))</f>
      </c>
      <c r="D249" s="35">
        <f>IF(ISERROR(VLOOKUP(B249,'START LİSTE'!$B$6:$F$1253,3,0)),"",VLOOKUP(B249,'START LİSTE'!$B$6:$F$1253,3,0))</f>
      </c>
      <c r="E249" s="36">
        <f>IF(ISERROR(VLOOKUP(B249,'START LİSTE'!$B$6:$F$1253,4,0)),"",VLOOKUP(B249,'START LİSTE'!$B$6:$F$1253,4,0))</f>
      </c>
      <c r="F249" s="37">
        <f>IF(ISERROR(VLOOKUP($B249,'START LİSTE'!$B$6:$F$1253,5,0)),"",VLOOKUP($B249,'START LİSTE'!$B$6:$F$1253,5,0))</f>
      </c>
      <c r="G249" s="103"/>
      <c r="H249" s="135">
        <f t="shared" si="7"/>
      </c>
    </row>
    <row r="250" spans="1:8" ht="17.25" customHeight="1">
      <c r="A250" s="34">
        <f t="shared" si="6"/>
      </c>
      <c r="B250" s="102"/>
      <c r="C250" s="35">
        <f>IF(ISERROR(VLOOKUP(B250,'START LİSTE'!$B$6:$F$1253,2,0)),"",VLOOKUP(B250,'START LİSTE'!$B$6:$F$1253,2,0))</f>
      </c>
      <c r="D250" s="35">
        <f>IF(ISERROR(VLOOKUP(B250,'START LİSTE'!$B$6:$F$1253,3,0)),"",VLOOKUP(B250,'START LİSTE'!$B$6:$F$1253,3,0))</f>
      </c>
      <c r="E250" s="36">
        <f>IF(ISERROR(VLOOKUP(B250,'START LİSTE'!$B$6:$F$1253,4,0)),"",VLOOKUP(B250,'START LİSTE'!$B$6:$F$1253,4,0))</f>
      </c>
      <c r="F250" s="37">
        <f>IF(ISERROR(VLOOKUP($B250,'START LİSTE'!$B$6:$F$1253,5,0)),"",VLOOKUP($B250,'START LİSTE'!$B$6:$F$1253,5,0))</f>
      </c>
      <c r="G250" s="103"/>
      <c r="H250" s="135">
        <f t="shared" si="7"/>
      </c>
    </row>
    <row r="251" spans="1:8" ht="17.25" customHeight="1">
      <c r="A251" s="34">
        <f t="shared" si="6"/>
      </c>
      <c r="B251" s="102"/>
      <c r="C251" s="35">
        <f>IF(ISERROR(VLOOKUP(B251,'START LİSTE'!$B$6:$F$1253,2,0)),"",VLOOKUP(B251,'START LİSTE'!$B$6:$F$1253,2,0))</f>
      </c>
      <c r="D251" s="35">
        <f>IF(ISERROR(VLOOKUP(B251,'START LİSTE'!$B$6:$F$1253,3,0)),"",VLOOKUP(B251,'START LİSTE'!$B$6:$F$1253,3,0))</f>
      </c>
      <c r="E251" s="36">
        <f>IF(ISERROR(VLOOKUP(B251,'START LİSTE'!$B$6:$F$1253,4,0)),"",VLOOKUP(B251,'START LİSTE'!$B$6:$F$1253,4,0))</f>
      </c>
      <c r="F251" s="37">
        <f>IF(ISERROR(VLOOKUP($B251,'START LİSTE'!$B$6:$F$1253,5,0)),"",VLOOKUP($B251,'START LİSTE'!$B$6:$F$1253,5,0))</f>
      </c>
      <c r="G251" s="103"/>
      <c r="H251" s="135">
        <f t="shared" si="7"/>
      </c>
    </row>
    <row r="252" spans="1:8" ht="17.25" customHeight="1">
      <c r="A252" s="34">
        <f t="shared" si="6"/>
      </c>
      <c r="B252" s="102"/>
      <c r="C252" s="35">
        <f>IF(ISERROR(VLOOKUP(B252,'START LİSTE'!$B$6:$F$1253,2,0)),"",VLOOKUP(B252,'START LİSTE'!$B$6:$F$1253,2,0))</f>
      </c>
      <c r="D252" s="35">
        <f>IF(ISERROR(VLOOKUP(B252,'START LİSTE'!$B$6:$F$1253,3,0)),"",VLOOKUP(B252,'START LİSTE'!$B$6:$F$1253,3,0))</f>
      </c>
      <c r="E252" s="36">
        <f>IF(ISERROR(VLOOKUP(B252,'START LİSTE'!$B$6:$F$1253,4,0)),"",VLOOKUP(B252,'START LİSTE'!$B$6:$F$1253,4,0))</f>
      </c>
      <c r="F252" s="37">
        <f>IF(ISERROR(VLOOKUP($B252,'START LİSTE'!$B$6:$F$1253,5,0)),"",VLOOKUP($B252,'START LİSTE'!$B$6:$F$1253,5,0))</f>
      </c>
      <c r="G252" s="103"/>
      <c r="H252" s="135">
        <f t="shared" si="7"/>
      </c>
    </row>
    <row r="253" spans="1:8" ht="17.25" customHeight="1">
      <c r="A253" s="34">
        <f t="shared" si="6"/>
      </c>
      <c r="B253" s="102"/>
      <c r="C253" s="35">
        <f>IF(ISERROR(VLOOKUP(B253,'START LİSTE'!$B$6:$F$1253,2,0)),"",VLOOKUP(B253,'START LİSTE'!$B$6:$F$1253,2,0))</f>
      </c>
      <c r="D253" s="35">
        <f>IF(ISERROR(VLOOKUP(B253,'START LİSTE'!$B$6:$F$1253,3,0)),"",VLOOKUP(B253,'START LİSTE'!$B$6:$F$1253,3,0))</f>
      </c>
      <c r="E253" s="36">
        <f>IF(ISERROR(VLOOKUP(B253,'START LİSTE'!$B$6:$F$1253,4,0)),"",VLOOKUP(B253,'START LİSTE'!$B$6:$F$1253,4,0))</f>
      </c>
      <c r="F253" s="37">
        <f>IF(ISERROR(VLOOKUP($B253,'START LİSTE'!$B$6:$F$1253,5,0)),"",VLOOKUP($B253,'START LİSTE'!$B$6:$F$1253,5,0))</f>
      </c>
      <c r="G253" s="103"/>
      <c r="H253" s="135">
        <f t="shared" si="7"/>
      </c>
    </row>
    <row r="254" spans="1:8" ht="17.25" customHeight="1">
      <c r="A254" s="34">
        <f t="shared" si="6"/>
      </c>
      <c r="B254" s="102"/>
      <c r="C254" s="35">
        <f>IF(ISERROR(VLOOKUP(B254,'START LİSTE'!$B$6:$F$1253,2,0)),"",VLOOKUP(B254,'START LİSTE'!$B$6:$F$1253,2,0))</f>
      </c>
      <c r="D254" s="35">
        <f>IF(ISERROR(VLOOKUP(B254,'START LİSTE'!$B$6:$F$1253,3,0)),"",VLOOKUP(B254,'START LİSTE'!$B$6:$F$1253,3,0))</f>
      </c>
      <c r="E254" s="36">
        <f>IF(ISERROR(VLOOKUP(B254,'START LİSTE'!$B$6:$F$1253,4,0)),"",VLOOKUP(B254,'START LİSTE'!$B$6:$F$1253,4,0))</f>
      </c>
      <c r="F254" s="37">
        <f>IF(ISERROR(VLOOKUP($B254,'START LİSTE'!$B$6:$F$1253,5,0)),"",VLOOKUP($B254,'START LİSTE'!$B$6:$F$1253,5,0))</f>
      </c>
      <c r="G254" s="103"/>
      <c r="H254" s="135">
        <f t="shared" si="7"/>
      </c>
    </row>
  </sheetData>
  <sheetProtection password="CC79" sheet="1"/>
  <mergeCells count="5">
    <mergeCell ref="A4:C4"/>
    <mergeCell ref="A1:H1"/>
    <mergeCell ref="A2:H2"/>
    <mergeCell ref="A3:H3"/>
    <mergeCell ref="F4:H4"/>
  </mergeCells>
  <conditionalFormatting sqref="H6:H254">
    <cfRule type="containsText" priority="3" dxfId="662" operator="containsText" stopIfTrue="1" text="$E$7=&quot;&quot;F&quot;&quot;">
      <formula>NOT(ISERROR(SEARCH("$E$7=""F""",H6)))</formula>
    </cfRule>
    <cfRule type="containsText" priority="5" dxfId="662" operator="containsText" stopIfTrue="1" text="F=E7">
      <formula>NOT(ISERROR(SEARCH("F=E7",H6)))</formula>
    </cfRule>
  </conditionalFormatting>
  <conditionalFormatting sqref="B6:B254">
    <cfRule type="duplicateValues" priority="184" dxfId="662" stopIfTrue="1">
      <formula>AND(COUNTIF($B$6:$B$254,B6)&gt;1,NOT(ISBLANK(B6)))</formula>
    </cfRule>
  </conditionalFormatting>
  <conditionalFormatting sqref="B6:B254">
    <cfRule type="duplicateValues" priority="1" dxfId="662" stopIfTrue="1">
      <formula>AND(COUNTIF($B$6:$B$254,B6)&gt;1,NOT(ISBLANK(B6)))</formula>
    </cfRule>
  </conditionalFormatting>
  <printOptions horizontalCentered="1" verticalCentered="1"/>
  <pageMargins left="0.6692913385826772" right="0.2362204724409449" top="0.4724409448818898" bottom="0.3937007874015748" header="0.3937007874015748" footer="0.2755905511811024"/>
  <pageSetup horizontalDpi="300" verticalDpi="300" orientation="portrait" paperSize="9" scale="92" r:id="rId2"/>
  <rowBreaks count="1" manualBreakCount="1">
    <brk id="45" max="7" man="1"/>
  </rowBreaks>
  <ignoredErrors>
    <ignoredError sqref="H7" formula="1"/>
  </ignoredErrors>
  <drawing r:id="rId1"/>
</worksheet>
</file>

<file path=xl/worksheets/sheet4.xml><?xml version="1.0" encoding="utf-8"?>
<worksheet xmlns="http://schemas.openxmlformats.org/spreadsheetml/2006/main" xmlns:r="http://schemas.openxmlformats.org/officeDocument/2006/relationships">
  <sheetPr>
    <tabColor rgb="FFFFFF00"/>
  </sheetPr>
  <dimension ref="A1:BF152"/>
  <sheetViews>
    <sheetView view="pageBreakPreview" zoomScaleSheetLayoutView="100" zoomScalePageLayoutView="0" workbookViewId="0" topLeftCell="B1">
      <selection activeCell="B30" sqref="B30"/>
    </sheetView>
  </sheetViews>
  <sheetFormatPr defaultColWidth="9.00390625" defaultRowHeight="12.75"/>
  <cols>
    <col min="1" max="1" width="7.00390625" style="20" hidden="1" customWidth="1"/>
    <col min="2" max="2" width="6.375" style="27" customWidth="1"/>
    <col min="3" max="3" width="30.75390625" style="20" customWidth="1"/>
    <col min="4" max="4" width="6.125" style="20" customWidth="1"/>
    <col min="5" max="5" width="23.75390625" style="20" customWidth="1"/>
    <col min="6" max="6" width="6.75390625" style="20" customWidth="1"/>
    <col min="7" max="7" width="7.125" style="104" customWidth="1"/>
    <col min="8" max="8" width="5.75390625" style="20" hidden="1" customWidth="1"/>
    <col min="9" max="9" width="6.00390625" style="20" customWidth="1"/>
    <col min="10" max="10" width="5.375" style="20" hidden="1" customWidth="1"/>
    <col min="11" max="14" width="5.375" style="20" customWidth="1"/>
    <col min="15" max="15" width="6.25390625" style="27" customWidth="1"/>
    <col min="16" max="17" width="8.875" style="20" customWidth="1"/>
    <col min="18" max="57" width="9.125" style="20" customWidth="1"/>
    <col min="58" max="58" width="9.125" style="28" hidden="1" customWidth="1"/>
    <col min="59" max="16384" width="9.125" style="20" customWidth="1"/>
  </cols>
  <sheetData>
    <row r="1" spans="1:58" s="1" customFormat="1" ht="30" customHeight="1">
      <c r="A1" s="274" t="str">
        <f>KAPAK!A2</f>
        <v>Aksaray Atletizm İl Temsilciliği</v>
      </c>
      <c r="B1" s="274"/>
      <c r="C1" s="274"/>
      <c r="D1" s="274"/>
      <c r="E1" s="274"/>
      <c r="F1" s="274"/>
      <c r="G1" s="274"/>
      <c r="H1" s="274"/>
      <c r="I1" s="274"/>
      <c r="J1" s="274"/>
      <c r="K1" s="274"/>
      <c r="L1" s="274"/>
      <c r="M1" s="274"/>
      <c r="N1" s="274"/>
      <c r="O1" s="274"/>
      <c r="BF1" s="2"/>
    </row>
    <row r="2" spans="1:58" s="1" customFormat="1" ht="18" customHeight="1">
      <c r="A2" s="275" t="str">
        <f>KAPAK!B24</f>
        <v>Küçükler ve Yıldızlar Bölgesel Kros Ligi 3.Kademe Yarışmaları</v>
      </c>
      <c r="B2" s="275"/>
      <c r="C2" s="275"/>
      <c r="D2" s="275"/>
      <c r="E2" s="275"/>
      <c r="F2" s="275"/>
      <c r="G2" s="275"/>
      <c r="H2" s="275"/>
      <c r="I2" s="275"/>
      <c r="J2" s="275"/>
      <c r="K2" s="275"/>
      <c r="L2" s="275"/>
      <c r="M2" s="275"/>
      <c r="N2" s="275"/>
      <c r="O2" s="275"/>
      <c r="BF2" s="2"/>
    </row>
    <row r="3" spans="1:58" s="1" customFormat="1" ht="14.25" customHeight="1">
      <c r="A3" s="276" t="str">
        <f>KAPAK!B27</f>
        <v>Aksaray</v>
      </c>
      <c r="B3" s="276"/>
      <c r="C3" s="276"/>
      <c r="D3" s="276"/>
      <c r="E3" s="276"/>
      <c r="F3" s="276"/>
      <c r="G3" s="276"/>
      <c r="H3" s="276"/>
      <c r="I3" s="276"/>
      <c r="J3" s="276"/>
      <c r="K3" s="276"/>
      <c r="L3" s="276"/>
      <c r="M3" s="276"/>
      <c r="N3" s="276"/>
      <c r="O3" s="276"/>
      <c r="BF3" s="2"/>
    </row>
    <row r="4" spans="1:58" s="1" customFormat="1" ht="18" customHeight="1">
      <c r="A4" s="277" t="str">
        <f>KAPAK!B26</f>
        <v>Yıldız Erkekler</v>
      </c>
      <c r="B4" s="277"/>
      <c r="C4" s="277"/>
      <c r="D4" s="272" t="str">
        <f>KAPAK!B25</f>
        <v>3 km.</v>
      </c>
      <c r="E4" s="272"/>
      <c r="F4" s="273">
        <f>KAPAK!B28</f>
        <v>41959.458333333336</v>
      </c>
      <c r="G4" s="273"/>
      <c r="H4" s="273"/>
      <c r="I4" s="273"/>
      <c r="J4" s="273"/>
      <c r="K4" s="273"/>
      <c r="L4" s="273"/>
      <c r="M4" s="273"/>
      <c r="N4" s="273"/>
      <c r="O4" s="273"/>
      <c r="BF4" s="2"/>
    </row>
    <row r="5" spans="1:58" s="4" customFormat="1" ht="26.25" customHeight="1">
      <c r="A5" s="89" t="s">
        <v>5</v>
      </c>
      <c r="B5" s="89" t="s">
        <v>5</v>
      </c>
      <c r="C5" s="90" t="s">
        <v>17</v>
      </c>
      <c r="D5" s="91" t="s">
        <v>1</v>
      </c>
      <c r="E5" s="90" t="s">
        <v>3</v>
      </c>
      <c r="F5" s="90" t="s">
        <v>8</v>
      </c>
      <c r="G5" s="92" t="s">
        <v>7</v>
      </c>
      <c r="H5" s="90" t="s">
        <v>9</v>
      </c>
      <c r="I5" s="90" t="s">
        <v>15</v>
      </c>
      <c r="J5" s="93" t="s">
        <v>14</v>
      </c>
      <c r="K5" s="111" t="s">
        <v>30</v>
      </c>
      <c r="L5" s="111" t="s">
        <v>31</v>
      </c>
      <c r="M5" s="111" t="s">
        <v>32</v>
      </c>
      <c r="N5" s="112" t="s">
        <v>34</v>
      </c>
      <c r="O5" s="90" t="s">
        <v>6</v>
      </c>
      <c r="P5" s="3"/>
      <c r="Q5" s="3"/>
      <c r="R5" s="3"/>
      <c r="S5" s="3"/>
      <c r="BF5" s="5"/>
    </row>
    <row r="6" spans="2:58" s="1" customFormat="1" ht="15" customHeight="1">
      <c r="B6" s="6"/>
      <c r="C6" s="7"/>
      <c r="D6" s="108">
        <v>291</v>
      </c>
      <c r="E6" s="8" t="str">
        <f>IF(ISERROR(VLOOKUP($D6,'START LİSTE'!$B$6:$F$836,2,0)),"",VLOOKUP($D6,'START LİSTE'!$B$6:$F$836,2,0))</f>
        <v>EMRE ÖREN</v>
      </c>
      <c r="F6" s="9" t="str">
        <f>IF(ISERROR(VLOOKUP($D6,'START LİSTE'!$B$6:$F$836,4,0)),"",VLOOKUP($D6,'START LİSTE'!$B$6:$F$836,4,0))</f>
        <v>T</v>
      </c>
      <c r="G6" s="105">
        <f>IF(ISERROR(VLOOKUP($D6,'FERDİ SONUÇ'!$B$6:$H$962,6,0)),"",VLOOKUP($D6,'FERDİ SONUÇ'!$B$6:$H$962,6,0))</f>
        <v>937</v>
      </c>
      <c r="H6" s="10">
        <f>IF(OR(F6="",G6="DQ",G6="DNF",G6="DNS",G6=""),"-",VLOOKUP(D6,'FERDİ SONUÇ'!$B$6:$H$962,7,0))</f>
        <v>2</v>
      </c>
      <c r="I6" s="10">
        <f>IF(OR(F6="",F6="F",G6="DQ",G6="DNF",G6="DNS",G6=""),"-",VLOOKUP(D6,'FERDİ SONUÇ'!$B$6:$H$962,7,0))</f>
        <v>2</v>
      </c>
      <c r="J6" s="11">
        <f>IF(ISERROR(SMALL(I6:I9,1)),"-",SMALL(I6:I9,1))</f>
        <v>1</v>
      </c>
      <c r="K6" s="97"/>
      <c r="L6" s="97"/>
      <c r="M6" s="97"/>
      <c r="N6" s="97"/>
      <c r="O6" s="12"/>
      <c r="P6" s="3"/>
      <c r="BF6" s="2">
        <v>1000</v>
      </c>
    </row>
    <row r="7" spans="2:58" s="1" customFormat="1" ht="15" customHeight="1">
      <c r="B7" s="13"/>
      <c r="C7" s="14"/>
      <c r="D7" s="109">
        <v>292</v>
      </c>
      <c r="E7" s="15" t="str">
        <f>IF(ISERROR(VLOOKUP($D7,'START LİSTE'!$B$6:$F$836,2,0)),"",VLOOKUP($D7,'START LİSTE'!$B$6:$F$836,2,0))</f>
        <v>ATİLLA MURATOĞLU</v>
      </c>
      <c r="F7" s="16" t="str">
        <f>IF(ISERROR(VLOOKUP($D7,'START LİSTE'!$B$6:$F$836,4,0)),"",VLOOKUP($D7,'START LİSTE'!$B$6:$F$836,4,0))</f>
        <v>T</v>
      </c>
      <c r="G7" s="106">
        <f>IF(ISERROR(VLOOKUP($D7,'FERDİ SONUÇ'!$B$6:$H$962,6,0)),"",VLOOKUP($D7,'FERDİ SONUÇ'!$B$6:$H$962,6,0))</f>
        <v>952</v>
      </c>
      <c r="H7" s="17">
        <f>IF(OR(F7="",G7="DQ",G7="DNF",G7="DNS",G7=""),"-",VLOOKUP(D7,'FERDİ SONUÇ'!$B$6:$H$962,7,0))</f>
        <v>4</v>
      </c>
      <c r="I7" s="17">
        <f>IF(OR(F7="",F7="F",G7="DQ",G7="DNF",G7="DNS",G7=""),"-",VLOOKUP(D7,'FERDİ SONUÇ'!$B$6:$H$962,7,0))</f>
        <v>4</v>
      </c>
      <c r="J7" s="18">
        <f>IF(ISERROR(SMALL(I6:I9,2)),"-",SMALL(I6:I9,2))</f>
        <v>2</v>
      </c>
      <c r="K7" s="98"/>
      <c r="L7" s="98"/>
      <c r="M7" s="98"/>
      <c r="N7" s="98"/>
      <c r="O7" s="19"/>
      <c r="P7" s="3"/>
      <c r="BF7" s="2">
        <v>1001</v>
      </c>
    </row>
    <row r="8" spans="1:58" s="1" customFormat="1" ht="15" customHeight="1">
      <c r="A8" s="101">
        <f>IF(AND(C8&lt;&gt;"",O8&lt;&gt;"DQ"),COUNT(O$6:O$1247)-(RANK(O8,O$6:O$1247)+COUNTIF(O$6:O8,O8))+2,IF(D6&lt;&gt;"",BF8,""))</f>
        <v>1</v>
      </c>
      <c r="B8" s="101">
        <f>IF(AND(C8&lt;&gt;"",N8&lt;&gt;"DQ"),COUNT(N$6:N$1247)-(RANK(N8,N$6:N$1247)+COUNTIF(N$6:N8,N8))+2,IF(D6&lt;&gt;"",BF8,""))</f>
        <v>1</v>
      </c>
      <c r="C8" s="14" t="str">
        <f>IF(ISERROR(VLOOKUP(D6,'START LİSTE'!$B$6:$F$836,3,0)),"",VLOOKUP(D6,'START LİSTE'!$B$6:$F$836,3,0))</f>
        <v>ADANA GSİM</v>
      </c>
      <c r="D8" s="109">
        <v>293</v>
      </c>
      <c r="E8" s="15" t="str">
        <f>IF(ISERROR(VLOOKUP($D8,'START LİSTE'!$B$6:$F$836,2,0)),"",VLOOKUP($D8,'START LİSTE'!$B$6:$F$836,2,0))</f>
        <v>EMRE GÜZEL</v>
      </c>
      <c r="F8" s="16" t="str">
        <f>IF(ISERROR(VLOOKUP($D8,'START LİSTE'!$B$6:$F$836,4,0)),"",VLOOKUP($D8,'START LİSTE'!$B$6:$F$836,4,0))</f>
        <v>T</v>
      </c>
      <c r="G8" s="106">
        <f>IF(ISERROR(VLOOKUP($D8,'FERDİ SONUÇ'!$B$6:$H$962,6,0)),"",VLOOKUP($D8,'FERDİ SONUÇ'!$B$6:$H$962,6,0))</f>
        <v>1018</v>
      </c>
      <c r="H8" s="17">
        <f>IF(OR(F8="",G8="DQ",G8="DNF",G8="DNS",G8=""),"-",VLOOKUP(D8,'FERDİ SONUÇ'!$B$6:$H$962,7,0))</f>
        <v>10</v>
      </c>
      <c r="I8" s="17">
        <f>IF(OR(F8="",F8="F",G8="DQ",G8="DNF",G8="DNS",G8=""),"-",VLOOKUP(D8,'FERDİ SONUÇ'!$B$6:$H$962,7,0))</f>
        <v>10</v>
      </c>
      <c r="J8" s="18">
        <f>IF(ISERROR(SMALL(I6:I9,3)),"-",SMALL(I6:I9,3))</f>
        <v>4</v>
      </c>
      <c r="K8" s="98">
        <v>10</v>
      </c>
      <c r="L8" s="151">
        <v>10.0005</v>
      </c>
      <c r="M8" s="151">
        <f>N8</f>
        <v>7.0004</v>
      </c>
      <c r="N8" s="110">
        <f>_xlfn.IFERROR(IF(C8="","",IF(OR(J6="-",J7="-",J8="-"),"DQ",SUM(J6,J7,J8)))+(J8*0.0001),"DQ")</f>
        <v>7.0004</v>
      </c>
      <c r="O8" s="110">
        <f>IF(C8="","",IF(OR(K8="DQ",L8="DQ",M8="DQ"),"DQ",SUM(K8,L8,M8)))</f>
        <v>27.0009</v>
      </c>
      <c r="P8" s="3"/>
      <c r="BF8" s="2">
        <v>1002</v>
      </c>
    </row>
    <row r="9" spans="2:58" s="1" customFormat="1" ht="15" customHeight="1">
      <c r="B9" s="13"/>
      <c r="C9" s="14"/>
      <c r="D9" s="109">
        <v>294</v>
      </c>
      <c r="E9" s="15" t="str">
        <f>IF(ISERROR(VLOOKUP($D9,'START LİSTE'!$B$6:$F$836,2,0)),"",VLOOKUP($D9,'START LİSTE'!$B$6:$F$836,2,0))</f>
        <v>ŞAHİN BALKIŞ</v>
      </c>
      <c r="F9" s="16" t="str">
        <f>IF(ISERROR(VLOOKUP($D9,'START LİSTE'!$B$6:$F$836,4,0)),"",VLOOKUP($D9,'START LİSTE'!$B$6:$F$836,4,0))</f>
        <v>T</v>
      </c>
      <c r="G9" s="106">
        <f>IF(ISERROR(VLOOKUP($D9,'FERDİ SONUÇ'!$B$6:$H$962,6,0)),"",VLOOKUP($D9,'FERDİ SONUÇ'!$B$6:$H$962,6,0))</f>
        <v>928</v>
      </c>
      <c r="H9" s="17">
        <f>IF(OR(F9="",G9="DQ",G9="DNF",G9="DNS",G9=""),"-",VLOOKUP(D9,'FERDİ SONUÇ'!$B$6:$H$962,7,0))</f>
        <v>1</v>
      </c>
      <c r="I9" s="17">
        <f>IF(OR(F9="",F9="F",G9="DQ",G9="DNF",G9="DNS",G9=""),"-",VLOOKUP(D9,'FERDİ SONUÇ'!$B$6:$H$962,7,0))</f>
        <v>1</v>
      </c>
      <c r="J9" s="18">
        <f>IF(ISERROR(SMALL(I6:I9,4)),"-",SMALL(I6:I9,4))</f>
        <v>10</v>
      </c>
      <c r="K9" s="98"/>
      <c r="L9" s="98"/>
      <c r="M9" s="98"/>
      <c r="N9" s="98"/>
      <c r="O9" s="19"/>
      <c r="P9" s="3"/>
      <c r="BF9" s="2">
        <v>1003</v>
      </c>
    </row>
    <row r="10" spans="2:58" ht="15" customHeight="1">
      <c r="B10" s="6"/>
      <c r="C10" s="7"/>
      <c r="D10" s="108">
        <v>275</v>
      </c>
      <c r="E10" s="8" t="str">
        <f>IF(ISERROR(VLOOKUP($D10,'START LİSTE'!$B$6:$F$836,2,0)),"",VLOOKUP($D10,'START LİSTE'!$B$6:$F$836,2,0))</f>
        <v>ANIL ÖZÇELİK</v>
      </c>
      <c r="F10" s="9" t="str">
        <f>IF(ISERROR(VLOOKUP($D10,'START LİSTE'!$B$6:$F$836,4,0)),"",VLOOKUP($D10,'START LİSTE'!$B$6:$F$836,4,0))</f>
        <v>T</v>
      </c>
      <c r="G10" s="105">
        <f>IF(ISERROR(VLOOKUP($D10,'FERDİ SONUÇ'!$B$6:$H$962,6,0)),"",VLOOKUP($D10,'FERDİ SONUÇ'!$B$6:$H$962,6,0))</f>
        <v>956</v>
      </c>
      <c r="H10" s="10">
        <f>IF(OR(F10="",G10="DQ",G10="DNF",G10="DNS",G10=""),"-",VLOOKUP(D10,'FERDİ SONUÇ'!$B$6:$H$962,7,0))</f>
        <v>5</v>
      </c>
      <c r="I10" s="10">
        <f>IF(OR(F10="",F10="F",G10="DQ",G10="DNF",G10="DNS",G10=""),"-",VLOOKUP(D10,'FERDİ SONUÇ'!$B$6:$H$962,7,0))</f>
        <v>5</v>
      </c>
      <c r="J10" s="11">
        <f>IF(ISERROR(SMALL(I10:I13,1)),"-",SMALL(I10:I13,1))</f>
        <v>3</v>
      </c>
      <c r="K10" s="97"/>
      <c r="L10" s="97"/>
      <c r="M10" s="97"/>
      <c r="N10" s="97"/>
      <c r="O10" s="12"/>
      <c r="BF10" s="2">
        <v>1006</v>
      </c>
    </row>
    <row r="11" spans="2:58" ht="15" customHeight="1">
      <c r="B11" s="13"/>
      <c r="C11" s="14"/>
      <c r="D11" s="109">
        <v>276</v>
      </c>
      <c r="E11" s="15" t="str">
        <f>IF(ISERROR(VLOOKUP($D11,'START LİSTE'!$B$6:$F$836,2,0)),"",VLOOKUP($D11,'START LİSTE'!$B$6:$F$836,2,0))</f>
        <v>MUHAMMED MUSTAFA HELVACI</v>
      </c>
      <c r="F11" s="16" t="str">
        <f>IF(ISERROR(VLOOKUP($D11,'START LİSTE'!$B$6:$F$836,4,0)),"",VLOOKUP($D11,'START LİSTE'!$B$6:$F$836,4,0))</f>
        <v>T</v>
      </c>
      <c r="G11" s="106">
        <f>IF(ISERROR(VLOOKUP($D11,'FERDİ SONUÇ'!$B$6:$H$962,6,0)),"",VLOOKUP($D11,'FERDİ SONUÇ'!$B$6:$H$962,6,0))</f>
        <v>937</v>
      </c>
      <c r="H11" s="17">
        <f>IF(OR(F11="",G11="DQ",G11="DNF",G11="DNS",G11=""),"-",VLOOKUP(D11,'FERDİ SONUÇ'!$B$6:$H$962,7,0))</f>
        <v>3</v>
      </c>
      <c r="I11" s="17">
        <f>IF(OR(F11="",F11="F",G11="DQ",G11="DNF",G11="DNS",G11=""),"-",VLOOKUP(D11,'FERDİ SONUÇ'!$B$6:$H$962,7,0))</f>
        <v>3</v>
      </c>
      <c r="J11" s="18">
        <f>IF(ISERROR(SMALL(I10:I13,2)),"-",SMALL(I10:I13,2))</f>
        <v>5</v>
      </c>
      <c r="K11" s="98"/>
      <c r="L11" s="98"/>
      <c r="M11" s="98"/>
      <c r="N11" s="98"/>
      <c r="O11" s="19"/>
      <c r="BF11" s="2">
        <v>1007</v>
      </c>
    </row>
    <row r="12" spans="1:58" ht="15" customHeight="1">
      <c r="A12" s="101">
        <f>IF(AND(C12&lt;&gt;"",O12&lt;&gt;"DQ"),COUNT(O$6:O$1247)-(RANK(O12,O$6:O$1247)+COUNTIF(O$6:O12,O12))+2,IF(D10&lt;&gt;"",BF12,""))</f>
        <v>2</v>
      </c>
      <c r="B12" s="101">
        <f>IF(AND(C12&lt;&gt;"",N12&lt;&gt;"DQ"),COUNT(N$6:N$1247)-(RANK(N12,N$6:N$1247)+COUNTIF(N$6:N12,N12))+2,IF(D10&lt;&gt;"",BF12,""))</f>
        <v>2</v>
      </c>
      <c r="C12" s="14" t="str">
        <f>IF(ISERROR(VLOOKUP(D10,'START LİSTE'!$B$6:$F$836,3,0)),"",VLOOKUP(D10,'START LİSTE'!$B$6:$F$836,3,0))</f>
        <v>HATAY-B.ŞHR.BLD.GSK.</v>
      </c>
      <c r="D12" s="109">
        <v>277</v>
      </c>
      <c r="E12" s="15" t="str">
        <f>IF(ISERROR(VLOOKUP($D12,'START LİSTE'!$B$6:$F$836,2,0)),"",VLOOKUP($D12,'START LİSTE'!$B$6:$F$836,2,0))</f>
        <v>AHMET ÖZÇELİK</v>
      </c>
      <c r="F12" s="16" t="str">
        <f>IF(ISERROR(VLOOKUP($D12,'START LİSTE'!$B$6:$F$836,4,0)),"",VLOOKUP($D12,'START LİSTE'!$B$6:$F$836,4,0))</f>
        <v>T</v>
      </c>
      <c r="G12" s="106">
        <f>IF(ISERROR(VLOOKUP($D12,'FERDİ SONUÇ'!$B$6:$H$962,6,0)),"",VLOOKUP($D12,'FERDİ SONUÇ'!$B$6:$H$962,6,0))</f>
        <v>1011</v>
      </c>
      <c r="H12" s="17">
        <f>IF(OR(F12="",G12="DQ",G12="DNF",G12="DNS",G12=""),"-",VLOOKUP(D12,'FERDİ SONUÇ'!$B$6:$H$962,7,0))</f>
        <v>7</v>
      </c>
      <c r="I12" s="17">
        <f>IF(OR(F12="",F12="F",G12="DQ",G12="DNF",G12="DNS",G12=""),"-",VLOOKUP(D12,'FERDİ SONUÇ'!$B$6:$H$962,7,0))</f>
        <v>7</v>
      </c>
      <c r="J12" s="18">
        <f>IF(ISERROR(SMALL(I10:I13,3)),"-",SMALL(I10:I13,3))</f>
        <v>7</v>
      </c>
      <c r="K12" s="98">
        <v>12</v>
      </c>
      <c r="L12" s="98">
        <v>15.001</v>
      </c>
      <c r="M12" s="98">
        <f>N12</f>
        <v>15.0007</v>
      </c>
      <c r="N12" s="110">
        <f>_xlfn.IFERROR(IF(C12="","",IF(OR(J10="-",J11="-",J12="-"),"DQ",SUM(J10,J11,J12)))+(J12*0.0001),"DQ")</f>
        <v>15.0007</v>
      </c>
      <c r="O12" s="110">
        <f>IF(C12="","",IF(OR(K12="DQ",L12="DQ",M12="DQ"),"DQ",SUM(K12,L12,M12)))</f>
        <v>42.0017</v>
      </c>
      <c r="BF12" s="2">
        <v>1008</v>
      </c>
    </row>
    <row r="13" spans="2:58" ht="15" customHeight="1">
      <c r="B13" s="13"/>
      <c r="C13" s="14"/>
      <c r="D13" s="109">
        <v>278</v>
      </c>
      <c r="E13" s="15" t="str">
        <f>IF(ISERROR(VLOOKUP($D13,'START LİSTE'!$B$6:$F$836,2,0)),"",VLOOKUP($D13,'START LİSTE'!$B$6:$F$836,2,0))</f>
        <v>GÜRSEL VELİECEOĞLU</v>
      </c>
      <c r="F13" s="16" t="str">
        <f>IF(ISERROR(VLOOKUP($D13,'START LİSTE'!$B$6:$F$836,4,0)),"",VLOOKUP($D13,'START LİSTE'!$B$6:$F$836,4,0))</f>
        <v>T</v>
      </c>
      <c r="G13" s="106">
        <f>IF(ISERROR(VLOOKUP($D13,'FERDİ SONUÇ'!$B$6:$H$962,6,0)),"",VLOOKUP($D13,'FERDİ SONUÇ'!$B$6:$H$962,6,0))</f>
        <v>1014</v>
      </c>
      <c r="H13" s="17">
        <f>IF(OR(F13="",G13="DQ",G13="DNF",G13="DNS",G13=""),"-",VLOOKUP(D13,'FERDİ SONUÇ'!$B$6:$H$962,7,0))</f>
        <v>8</v>
      </c>
      <c r="I13" s="17">
        <f>IF(OR(F13="",F13="F",G13="DQ",G13="DNF",G13="DNS",G13=""),"-",VLOOKUP(D13,'FERDİ SONUÇ'!$B$6:$H$962,7,0))</f>
        <v>8</v>
      </c>
      <c r="J13" s="18">
        <f>IF(ISERROR(SMALL(I10:I13,4)),"-",SMALL(I10:I13,4))</f>
        <v>8</v>
      </c>
      <c r="K13" s="98"/>
      <c r="L13" s="98"/>
      <c r="M13" s="98"/>
      <c r="N13" s="98"/>
      <c r="O13" s="19"/>
      <c r="BF13" s="2">
        <v>1009</v>
      </c>
    </row>
    <row r="14" spans="2:58" ht="15" customHeight="1">
      <c r="B14" s="6"/>
      <c r="C14" s="7"/>
      <c r="D14" s="108">
        <v>283</v>
      </c>
      <c r="E14" s="8" t="str">
        <f>IF(ISERROR(VLOOKUP($D14,'START LİSTE'!$B$6:$F$836,2,0)),"",VLOOKUP($D14,'START LİSTE'!$B$6:$F$836,2,0))</f>
        <v>YUNUS EMRE YILMAZ</v>
      </c>
      <c r="F14" s="9" t="str">
        <f>IF(ISERROR(VLOOKUP($D14,'START LİSTE'!$B$6:$F$836,4,0)),"",VLOOKUP($D14,'START LİSTE'!$B$6:$F$836,4,0))</f>
        <v>T</v>
      </c>
      <c r="G14" s="105">
        <f>IF(ISERROR(VLOOKUP($D14,'FERDİ SONUÇ'!$B$6:$H$962,6,0)),"",VLOOKUP($D14,'FERDİ SONUÇ'!$B$6:$H$962,6,0))</f>
        <v>1006</v>
      </c>
      <c r="H14" s="10">
        <f>IF(OR(F14="",G14="DQ",G14="DNF",G14="DNS",G14=""),"-",VLOOKUP(D14,'FERDİ SONUÇ'!$B$6:$H$962,7,0))</f>
        <v>6</v>
      </c>
      <c r="I14" s="10">
        <f>IF(OR(F14="",F14="F",G14="DQ",G14="DNF",G14="DNS",G14=""),"-",VLOOKUP(D14,'FERDİ SONUÇ'!$B$6:$H$962,7,0))</f>
        <v>6</v>
      </c>
      <c r="J14" s="11">
        <f>IF(ISERROR(SMALL(I14:I17,1)),"-",SMALL(I14:I17,1))</f>
        <v>6</v>
      </c>
      <c r="K14" s="97"/>
      <c r="L14" s="97"/>
      <c r="M14" s="97"/>
      <c r="N14" s="97"/>
      <c r="O14" s="12"/>
      <c r="BF14" s="2">
        <v>1012</v>
      </c>
    </row>
    <row r="15" spans="2:58" ht="15" customHeight="1">
      <c r="B15" s="13"/>
      <c r="C15" s="14"/>
      <c r="D15" s="109">
        <v>284</v>
      </c>
      <c r="E15" s="15" t="str">
        <f>IF(ISERROR(VLOOKUP($D15,'START LİSTE'!$B$6:$F$836,2,0)),"",VLOOKUP($D15,'START LİSTE'!$B$6:$F$836,2,0))</f>
        <v>MÜCAHİT KARABACAK</v>
      </c>
      <c r="F15" s="16" t="str">
        <f>IF(ISERROR(VLOOKUP($D15,'START LİSTE'!$B$6:$F$836,4,0)),"",VLOOKUP($D15,'START LİSTE'!$B$6:$F$836,4,0))</f>
        <v>T</v>
      </c>
      <c r="G15" s="106">
        <f>IF(ISERROR(VLOOKUP($D15,'FERDİ SONUÇ'!$B$6:$H$962,6,0)),"",VLOOKUP($D15,'FERDİ SONUÇ'!$B$6:$H$962,6,0))</f>
        <v>1030</v>
      </c>
      <c r="H15" s="17">
        <f>IF(OR(F15="",G15="DQ",G15="DNF",G15="DNS",G15=""),"-",VLOOKUP(D15,'FERDİ SONUÇ'!$B$6:$H$962,7,0))</f>
        <v>12</v>
      </c>
      <c r="I15" s="17">
        <f>IF(OR(F15="",F15="F",G15="DQ",G15="DNF",G15="DNS",G15=""),"-",VLOOKUP(D15,'FERDİ SONUÇ'!$B$6:$H$962,7,0))</f>
        <v>12</v>
      </c>
      <c r="J15" s="18">
        <f>IF(ISERROR(SMALL(I14:I17,2)),"-",SMALL(I14:I17,2))</f>
        <v>12</v>
      </c>
      <c r="K15" s="98"/>
      <c r="L15" s="98"/>
      <c r="M15" s="98"/>
      <c r="N15" s="98"/>
      <c r="O15" s="19"/>
      <c r="BF15" s="2">
        <v>1013</v>
      </c>
    </row>
    <row r="16" spans="1:58" ht="15" customHeight="1">
      <c r="A16" s="101">
        <f>IF(AND(C16&lt;&gt;"",O16&lt;&gt;"DQ"),COUNT(O$6:O$1247)-(RANK(O16,O$6:O$1247)+COUNTIF(O$6:O16,O16))+2,IF(D14&lt;&gt;"",BF16,""))</f>
        <v>4</v>
      </c>
      <c r="B16" s="101">
        <f>IF(AND(C16&lt;&gt;"",N16&lt;&gt;"DQ"),COUNT(N$6:N$1247)-(RANK(N16,N$6:N$1247)+COUNTIF(N$6:N16,N16))+2,IF(D14&lt;&gt;"",BF16,""))</f>
        <v>3</v>
      </c>
      <c r="C16" s="14" t="str">
        <f>IF(ISERROR(VLOOKUP(D14,'START LİSTE'!$B$6:$F$836,3,0)),"",VLOOKUP(D14,'START LİSTE'!$B$6:$F$836,3,0))</f>
        <v>NİĞDE-NİĞDE GÜCÜ SK.</v>
      </c>
      <c r="D16" s="109">
        <v>285</v>
      </c>
      <c r="E16" s="15" t="str">
        <f>IF(ISERROR(VLOOKUP($D16,'START LİSTE'!$B$6:$F$836,2,0)),"",VLOOKUP($D16,'START LİSTE'!$B$6:$F$836,2,0))</f>
        <v>AHMET IŞIK</v>
      </c>
      <c r="F16" s="16" t="str">
        <f>IF(ISERROR(VLOOKUP($D16,'START LİSTE'!$B$6:$F$836,4,0)),"",VLOOKUP($D16,'START LİSTE'!$B$6:$F$836,4,0))</f>
        <v>T</v>
      </c>
      <c r="G16" s="106">
        <f>IF(ISERROR(VLOOKUP($D16,'FERDİ SONUÇ'!$B$6:$H$962,6,0)),"",VLOOKUP($D16,'FERDİ SONUÇ'!$B$6:$H$962,6,0))</f>
        <v>1053</v>
      </c>
      <c r="H16" s="17">
        <f>IF(OR(F16="",G16="DQ",G16="DNF",G16="DNS",G16=""),"-",VLOOKUP(D16,'FERDİ SONUÇ'!$B$6:$H$962,7,0))</f>
        <v>14</v>
      </c>
      <c r="I16" s="17">
        <f>IF(OR(F16="",F16="F",G16="DQ",G16="DNF",G16="DNS",G16=""),"-",VLOOKUP(D16,'FERDİ SONUÇ'!$B$6:$H$962,7,0))</f>
        <v>14</v>
      </c>
      <c r="J16" s="18">
        <f>IF(ISERROR(SMALL(I14:I17,3)),"-",SMALL(I14:I17,3))</f>
        <v>14</v>
      </c>
      <c r="K16" s="98">
        <v>36</v>
      </c>
      <c r="L16" s="98">
        <v>35.0014</v>
      </c>
      <c r="M16" s="98">
        <f>N16</f>
        <v>32.0014</v>
      </c>
      <c r="N16" s="110">
        <f>_xlfn.IFERROR(IF(C16="","",IF(OR(J14="-",J15="-",J16="-"),"DQ",SUM(J14,J15,J16)))+(J16*0.0001),"DQ")</f>
        <v>32.0014</v>
      </c>
      <c r="O16" s="110">
        <f>IF(C16="","",IF(OR(K16="DQ",L16="DQ",M16="DQ"),"DQ",SUM(K16,L16,M16)))</f>
        <v>103.00279999999998</v>
      </c>
      <c r="BF16" s="2">
        <v>1014</v>
      </c>
    </row>
    <row r="17" spans="2:58" ht="15" customHeight="1">
      <c r="B17" s="13"/>
      <c r="C17" s="14"/>
      <c r="D17" s="109">
        <v>286</v>
      </c>
      <c r="E17" s="15" t="str">
        <f>IF(ISERROR(VLOOKUP($D17,'START LİSTE'!$B$6:$F$836,2,0)),"",VLOOKUP($D17,'START LİSTE'!$B$6:$F$836,2,0))</f>
        <v>MEHMET CAVDAR</v>
      </c>
      <c r="F17" s="16" t="str">
        <f>IF(ISERROR(VLOOKUP($D17,'START LİSTE'!$B$6:$F$836,4,0)),"",VLOOKUP($D17,'START LİSTE'!$B$6:$F$836,4,0))</f>
        <v>T</v>
      </c>
      <c r="G17" s="106">
        <f>IF(ISERROR(VLOOKUP($D17,'FERDİ SONUÇ'!$B$6:$H$962,6,0)),"",VLOOKUP($D17,'FERDİ SONUÇ'!$B$6:$H$962,6,0))</f>
        <v>1118</v>
      </c>
      <c r="H17" s="17">
        <f>IF(OR(F17="",G17="DQ",G17="DNF",G17="DNS",G17=""),"-",VLOOKUP(D17,'FERDİ SONUÇ'!$B$6:$H$962,7,0))</f>
        <v>15</v>
      </c>
      <c r="I17" s="17">
        <f>IF(OR(F17="",F17="F",G17="DQ",G17="DNF",G17="DNS",G17=""),"-",VLOOKUP(D17,'FERDİ SONUÇ'!$B$6:$H$962,7,0))</f>
        <v>15</v>
      </c>
      <c r="J17" s="18">
        <f>IF(ISERROR(SMALL(I14:I17,4)),"-",SMALL(I14:I17,4))</f>
        <v>15</v>
      </c>
      <c r="K17" s="98"/>
      <c r="L17" s="98"/>
      <c r="M17" s="98"/>
      <c r="N17" s="98"/>
      <c r="O17" s="19"/>
      <c r="BF17" s="2">
        <v>1015</v>
      </c>
    </row>
    <row r="18" spans="2:58" ht="15" customHeight="1">
      <c r="B18" s="6"/>
      <c r="C18" s="7"/>
      <c r="D18" s="108">
        <v>287</v>
      </c>
      <c r="E18" s="8" t="str">
        <f>IF(ISERROR(VLOOKUP($D18,'START LİSTE'!$B$6:$F$836,2,0)),"",VLOOKUP($D18,'START LİSTE'!$B$6:$F$836,2,0))</f>
        <v>MEHMET TOSUN</v>
      </c>
      <c r="F18" s="9" t="str">
        <f>IF(ISERROR(VLOOKUP($D18,'START LİSTE'!$B$6:$F$836,4,0)),"",VLOOKUP($D18,'START LİSTE'!$B$6:$F$836,4,0))</f>
        <v>T</v>
      </c>
      <c r="G18" s="105">
        <f>IF(ISERROR(VLOOKUP($D18,'FERDİ SONUÇ'!$B$6:$H$962,6,0)),"",VLOOKUP($D18,'FERDİ SONUÇ'!$B$6:$H$962,6,0))</f>
        <v>1305</v>
      </c>
      <c r="H18" s="9">
        <f>IF(OR(F18="",G18="DQ",G18="DNF",G18="DNS",G18=""),"-",VLOOKUP(D18,'FERDİ SONUÇ'!$B$6:$H$962,7,0))</f>
        <v>16</v>
      </c>
      <c r="I18" s="9">
        <f>IF(OR(F18="",F18="F",G18="DQ",G18="DNF",G18="DNS",G18=""),"-",VLOOKUP(D18,'FERDİ SONUÇ'!$B$6:$H$962,7,0))</f>
        <v>16</v>
      </c>
      <c r="J18" s="11">
        <f>IF(ISERROR(SMALL(I18:I21,1)),"-",SMALL(I18:I21,1))</f>
        <v>9</v>
      </c>
      <c r="K18" s="97"/>
      <c r="L18" s="97"/>
      <c r="M18" s="97"/>
      <c r="N18" s="97"/>
      <c r="O18" s="12"/>
      <c r="BF18" s="2">
        <v>1018</v>
      </c>
    </row>
    <row r="19" spans="2:58" ht="15" customHeight="1">
      <c r="B19" s="13"/>
      <c r="C19" s="14"/>
      <c r="D19" s="109">
        <v>288</v>
      </c>
      <c r="E19" s="15" t="str">
        <f>IF(ISERROR(VLOOKUP($D19,'START LİSTE'!$B$6:$F$836,2,0)),"",VLOOKUP($D19,'START LİSTE'!$B$6:$F$836,2,0))</f>
        <v>MEHMET ŞENOL</v>
      </c>
      <c r="F19" s="16" t="str">
        <f>IF(ISERROR(VLOOKUP($D19,'START LİSTE'!$B$6:$F$836,4,0)),"",VLOOKUP($D19,'START LİSTE'!$B$6:$F$836,4,0))</f>
        <v>T</v>
      </c>
      <c r="G19" s="106">
        <f>IF(ISERROR(VLOOKUP($D19,'FERDİ SONUÇ'!$B$6:$H$962,6,0)),"",VLOOKUP($D19,'FERDİ SONUÇ'!$B$6:$H$962,6,0))</f>
        <v>1014</v>
      </c>
      <c r="H19" s="16">
        <f>IF(OR(F19="",G19="DQ",G19="DNF",G19="DNS",G19=""),"-",VLOOKUP(D19,'FERDİ SONUÇ'!$B$6:$H$962,7,0))</f>
        <v>9</v>
      </c>
      <c r="I19" s="16">
        <f>IF(OR(F19="",F19="F",G19="DQ",G19="DNF",G19="DNS",G19=""),"-",VLOOKUP(D19,'FERDİ SONUÇ'!$B$6:$H$962,7,0))</f>
        <v>9</v>
      </c>
      <c r="J19" s="18">
        <f>IF(ISERROR(SMALL(I18:I21,2)),"-",SMALL(I18:I21,2))</f>
        <v>11</v>
      </c>
      <c r="K19" s="98"/>
      <c r="L19" s="98"/>
      <c r="M19" s="98"/>
      <c r="N19" s="98"/>
      <c r="O19" s="19"/>
      <c r="BF19" s="2">
        <v>1019</v>
      </c>
    </row>
    <row r="20" spans="1:58" ht="15" customHeight="1">
      <c r="A20" s="101">
        <f>IF(AND(C20&lt;&gt;"",O20&lt;&gt;"DQ"),COUNT(O$6:O$1247)-(RANK(O20,O$6:O$1247)+COUNTIF(O$6:O20,O20))+2,IF(D18&lt;&gt;"",BF20,""))</f>
        <v>3</v>
      </c>
      <c r="B20" s="101">
        <f>IF(AND(C20&lt;&gt;"",N20&lt;&gt;"DQ"),COUNT(N$6:N$1247)-(RANK(N20,N$6:N$1247)+COUNTIF(N$6:N20,N20))+2,IF(D18&lt;&gt;"",BF20,""))</f>
        <v>4</v>
      </c>
      <c r="C20" s="14" t="str">
        <f>IF(ISERROR(VLOOKUP(D18,'START LİSTE'!$B$6:$F$836,3,0)),"",VLOOKUP(D18,'START LİSTE'!$B$6:$F$836,3,0))</f>
        <v>OSMANİYE - GENÇLİK SPOR KÜLÜBÜ</v>
      </c>
      <c r="D20" s="109">
        <v>289</v>
      </c>
      <c r="E20" s="15" t="str">
        <f>IF(ISERROR(VLOOKUP($D20,'START LİSTE'!$B$6:$F$836,2,0)),"",VLOOKUP($D20,'START LİSTE'!$B$6:$F$836,2,0))</f>
        <v>AKİF KARA</v>
      </c>
      <c r="F20" s="16" t="str">
        <f>IF(ISERROR(VLOOKUP($D20,'START LİSTE'!$B$6:$F$836,4,0)),"",VLOOKUP($D20,'START LİSTE'!$B$6:$F$836,4,0))</f>
        <v>T</v>
      </c>
      <c r="G20" s="106">
        <f>IF(ISERROR(VLOOKUP($D20,'FERDİ SONUÇ'!$B$6:$H$962,6,0)),"",VLOOKUP($D20,'FERDİ SONUÇ'!$B$6:$H$962,6,0))</f>
        <v>1041</v>
      </c>
      <c r="H20" s="16">
        <f>IF(OR(F20="",G20="DQ",G20="DNF",G20="DNS",G20=""),"-",VLOOKUP(D20,'FERDİ SONUÇ'!$B$6:$H$962,7,0))</f>
        <v>13</v>
      </c>
      <c r="I20" s="16">
        <f>IF(OR(F20="",F20="F",G20="DQ",G20="DNF",G20="DNS",G20=""),"-",VLOOKUP(D20,'FERDİ SONUÇ'!$B$6:$H$962,7,0))</f>
        <v>13</v>
      </c>
      <c r="J20" s="18">
        <f>IF(ISERROR(SMALL(I18:I21,3)),"-",SMALL(I18:I21,3))</f>
        <v>13</v>
      </c>
      <c r="K20" s="98">
        <v>26</v>
      </c>
      <c r="L20" s="98">
        <v>21.0008</v>
      </c>
      <c r="M20" s="98">
        <f>N20</f>
        <v>33.0013</v>
      </c>
      <c r="N20" s="110">
        <f>_xlfn.IFERROR(IF(C20="","",IF(OR(J18="-",J19="-",J20="-"),"DQ",SUM(J18,J19,J20)))+(J20*0.0001),"DQ")</f>
        <v>33.0013</v>
      </c>
      <c r="O20" s="110">
        <f>IF(C20="","",IF(OR(K20="DQ",L20="DQ",M20="DQ"),"DQ",SUM(K20,L20,M20)))</f>
        <v>80.0021</v>
      </c>
      <c r="BF20" s="2">
        <v>1020</v>
      </c>
    </row>
    <row r="21" spans="2:58" ht="15" customHeight="1">
      <c r="B21" s="13"/>
      <c r="C21" s="14"/>
      <c r="D21" s="109">
        <v>290</v>
      </c>
      <c r="E21" s="15" t="str">
        <f>IF(ISERROR(VLOOKUP($D21,'START LİSTE'!$B$6:$F$836,2,0)),"",VLOOKUP($D21,'START LİSTE'!$B$6:$F$836,2,0))</f>
        <v>İSA SAVAŞ</v>
      </c>
      <c r="F21" s="16" t="str">
        <f>IF(ISERROR(VLOOKUP($D21,'START LİSTE'!$B$6:$F$836,4,0)),"",VLOOKUP($D21,'START LİSTE'!$B$6:$F$836,4,0))</f>
        <v>T</v>
      </c>
      <c r="G21" s="106">
        <f>IF(ISERROR(VLOOKUP($D21,'FERDİ SONUÇ'!$B$6:$H$962,6,0)),"",VLOOKUP($D21,'FERDİ SONUÇ'!$B$6:$H$962,6,0))</f>
        <v>1022</v>
      </c>
      <c r="H21" s="16">
        <f>IF(OR(F21="",G21="DQ",G21="DNF",G21="DNS",G21=""),"-",VLOOKUP(D21,'FERDİ SONUÇ'!$B$6:$H$962,7,0))</f>
        <v>11</v>
      </c>
      <c r="I21" s="16">
        <f>IF(OR(F21="",F21="F",G21="DQ",G21="DNF",G21="DNS",G21=""),"-",VLOOKUP(D21,'FERDİ SONUÇ'!$B$6:$H$962,7,0))</f>
        <v>11</v>
      </c>
      <c r="J21" s="18">
        <f>IF(ISERROR(SMALL(I18:I21,4)),"-",SMALL(I18:I21,4))</f>
        <v>16</v>
      </c>
      <c r="K21" s="98"/>
      <c r="L21" s="98"/>
      <c r="M21" s="98"/>
      <c r="N21" s="98"/>
      <c r="O21" s="19"/>
      <c r="BF21" s="2">
        <v>1021</v>
      </c>
    </row>
    <row r="22" spans="2:58" ht="15" customHeight="1">
      <c r="B22" s="6"/>
      <c r="C22" s="7"/>
      <c r="D22" s="108"/>
      <c r="E22" s="8">
        <f>IF(ISERROR(VLOOKUP($D22,'START LİSTE'!$B$6:$F$836,2,0)),"",VLOOKUP($D22,'START LİSTE'!$B$6:$F$836,2,0))</f>
      </c>
      <c r="F22" s="9">
        <f>IF(ISERROR(VLOOKUP($D22,'START LİSTE'!$B$6:$F$836,4,0)),"",VLOOKUP($D22,'START LİSTE'!$B$6:$F$836,4,0))</f>
      </c>
      <c r="G22" s="105">
        <f>IF(ISERROR(VLOOKUP($D22,'FERDİ SONUÇ'!$B$6:$H$962,6,0)),"",VLOOKUP($D22,'FERDİ SONUÇ'!$B$6:$H$962,6,0))</f>
      </c>
      <c r="H22" s="9" t="str">
        <f>IF(OR(F22="",G22="DQ",G22="DNF",G22="DNS",G22=""),"-",VLOOKUP(D22,'FERDİ SONUÇ'!$B$6:$H$962,7,0))</f>
        <v>-</v>
      </c>
      <c r="I22" s="9" t="str">
        <f>IF(OR(F22="",F22="F",G22="DQ",G22="DNF",G22="DNS",G22=""),"-",VLOOKUP(D22,'FERDİ SONUÇ'!$B$6:$H$962,7,0))</f>
        <v>-</v>
      </c>
      <c r="J22" s="11" t="str">
        <f>IF(ISERROR(SMALL(I22:I25,1)),"-",SMALL(I22:I25,1))</f>
        <v>-</v>
      </c>
      <c r="K22" s="97"/>
      <c r="L22" s="97"/>
      <c r="M22" s="97"/>
      <c r="N22" s="97"/>
      <c r="O22" s="12"/>
      <c r="BF22" s="2">
        <v>1024</v>
      </c>
    </row>
    <row r="23" spans="2:58" ht="15" customHeight="1">
      <c r="B23" s="13"/>
      <c r="C23" s="14"/>
      <c r="D23" s="109"/>
      <c r="E23" s="15">
        <f>IF(ISERROR(VLOOKUP($D23,'START LİSTE'!$B$6:$F$836,2,0)),"",VLOOKUP($D23,'START LİSTE'!$B$6:$F$836,2,0))</f>
      </c>
      <c r="F23" s="16">
        <f>IF(ISERROR(VLOOKUP($D23,'START LİSTE'!$B$6:$F$836,4,0)),"",VLOOKUP($D23,'START LİSTE'!$B$6:$F$836,4,0))</f>
      </c>
      <c r="G23" s="106">
        <f>IF(ISERROR(VLOOKUP($D23,'FERDİ SONUÇ'!$B$6:$H$962,6,0)),"",VLOOKUP($D23,'FERDİ SONUÇ'!$B$6:$H$962,6,0))</f>
      </c>
      <c r="H23" s="16" t="str">
        <f>IF(OR(F23="",G23="DQ",G23="DNF",G23="DNS",G23=""),"-",VLOOKUP(D23,'FERDİ SONUÇ'!$B$6:$H$962,7,0))</f>
        <v>-</v>
      </c>
      <c r="I23" s="16" t="str">
        <f>IF(OR(F23="",F23="F",G23="DQ",G23="DNF",G23="DNS",G23=""),"-",VLOOKUP(D23,'FERDİ SONUÇ'!$B$6:$H$962,7,0))</f>
        <v>-</v>
      </c>
      <c r="J23" s="18" t="str">
        <f>IF(ISERROR(SMALL(I22:I25,2)),"-",SMALL(I22:I25,2))</f>
        <v>-</v>
      </c>
      <c r="K23" s="98"/>
      <c r="L23" s="98"/>
      <c r="M23" s="98"/>
      <c r="N23" s="98"/>
      <c r="O23" s="19"/>
      <c r="BF23" s="2">
        <v>1025</v>
      </c>
    </row>
    <row r="24" spans="1:58" ht="15" customHeight="1">
      <c r="A24" s="101">
        <f>IF(AND(C24&lt;&gt;"",O24&lt;&gt;"DQ"),COUNT(O$6:O$1247)-(RANK(O24,O$6:O$1247)+COUNTIF(O$6:O24,O24))+2,IF(D22&lt;&gt;"",BF24,""))</f>
      </c>
      <c r="B24" s="101">
        <f>IF(AND(C24&lt;&gt;"",N24&lt;&gt;"DQ"),COUNT(N$6:N$1247)-(RANK(N24,N$6:N$1247)+COUNTIF(N$6:N24,N24))+2,IF(D22&lt;&gt;"",BF24,""))</f>
      </c>
      <c r="C24" s="14">
        <f>IF(ISERROR(VLOOKUP(D22,'START LİSTE'!$B$6:$F$836,3,0)),"",VLOOKUP(D22,'START LİSTE'!$B$6:$F$836,3,0))</f>
      </c>
      <c r="D24" s="109"/>
      <c r="E24" s="15">
        <f>IF(ISERROR(VLOOKUP($D24,'START LİSTE'!$B$6:$F$836,2,0)),"",VLOOKUP($D24,'START LİSTE'!$B$6:$F$836,2,0))</f>
      </c>
      <c r="F24" s="16">
        <f>IF(ISERROR(VLOOKUP($D24,'START LİSTE'!$B$6:$F$836,4,0)),"",VLOOKUP($D24,'START LİSTE'!$B$6:$F$836,4,0))</f>
      </c>
      <c r="G24" s="106">
        <f>IF(ISERROR(VLOOKUP($D24,'FERDİ SONUÇ'!$B$6:$H$962,6,0)),"",VLOOKUP($D24,'FERDİ SONUÇ'!$B$6:$H$962,6,0))</f>
      </c>
      <c r="H24" s="16" t="str">
        <f>IF(OR(F24="",G24="DQ",G24="DNF",G24="DNS",G24=""),"-",VLOOKUP(D24,'FERDİ SONUÇ'!$B$6:$H$962,7,0))</f>
        <v>-</v>
      </c>
      <c r="I24" s="16" t="str">
        <f>IF(OR(F24="",F24="F",G24="DQ",G24="DNF",G24="DNS",G24=""),"-",VLOOKUP(D24,'FERDİ SONUÇ'!$B$6:$H$962,7,0))</f>
        <v>-</v>
      </c>
      <c r="J24" s="18" t="str">
        <f>IF(ISERROR(SMALL(I22:I25,3)),"-",SMALL(I22:I25,3))</f>
        <v>-</v>
      </c>
      <c r="K24" s="98"/>
      <c r="L24" s="98" t="str">
        <f>N24</f>
        <v>DQ</v>
      </c>
      <c r="M24" s="98"/>
      <c r="N24" s="110" t="str">
        <f>_xlfn.IFERROR(IF(C24="","",IF(OR(J22="-",J23="-",J24="-"),"DQ",SUM(J22,J23,J24)))+(J24*0.0001),"DQ")</f>
        <v>DQ</v>
      </c>
      <c r="O24" s="110">
        <f>IF(C24="","",IF(OR(K24="DQ",L24="DQ",M24="DQ"),"DQ",SUM(K24,L24,M24)))</f>
      </c>
      <c r="BF24" s="2">
        <v>1026</v>
      </c>
    </row>
    <row r="25" spans="2:58" ht="15" customHeight="1">
      <c r="B25" s="13"/>
      <c r="C25" s="14"/>
      <c r="D25" s="109"/>
      <c r="E25" s="15">
        <f>IF(ISERROR(VLOOKUP($D25,'START LİSTE'!$B$6:$F$836,2,0)),"",VLOOKUP($D25,'START LİSTE'!$B$6:$F$836,2,0))</f>
      </c>
      <c r="F25" s="16">
        <f>IF(ISERROR(VLOOKUP($D25,'START LİSTE'!$B$6:$F$836,4,0)),"",VLOOKUP($D25,'START LİSTE'!$B$6:$F$836,4,0))</f>
      </c>
      <c r="G25" s="106">
        <f>IF(ISERROR(VLOOKUP($D25,'FERDİ SONUÇ'!$B$6:$H$962,6,0)),"",VLOOKUP($D25,'FERDİ SONUÇ'!$B$6:$H$962,6,0))</f>
      </c>
      <c r="H25" s="16" t="str">
        <f>IF(OR(F25="",G25="DQ",G25="DNF",G25="DNS",G25=""),"-",VLOOKUP(D25,'FERDİ SONUÇ'!$B$6:$H$962,7,0))</f>
        <v>-</v>
      </c>
      <c r="I25" s="16" t="str">
        <f>IF(OR(F25="",F25="F",G25="DQ",G25="DNF",G25="DNS",G25=""),"-",VLOOKUP(D25,'FERDİ SONUÇ'!$B$6:$H$962,7,0))</f>
        <v>-</v>
      </c>
      <c r="J25" s="18" t="str">
        <f>IF(ISERROR(SMALL(I22:I25,4)),"-",SMALL(I22:I25,4))</f>
        <v>-</v>
      </c>
      <c r="K25" s="98"/>
      <c r="L25" s="98"/>
      <c r="M25" s="98"/>
      <c r="N25" s="98"/>
      <c r="O25" s="19"/>
      <c r="BF25" s="2">
        <v>1027</v>
      </c>
    </row>
    <row r="26" spans="2:58" ht="15" customHeight="1">
      <c r="B26" s="6"/>
      <c r="C26" s="7"/>
      <c r="D26" s="108"/>
      <c r="E26" s="8">
        <f>IF(ISERROR(VLOOKUP($D26,'START LİSTE'!$B$6:$F$836,2,0)),"",VLOOKUP($D26,'START LİSTE'!$B$6:$F$836,2,0))</f>
      </c>
      <c r="F26" s="9">
        <f>IF(ISERROR(VLOOKUP($D26,'START LİSTE'!$B$6:$F$836,4,0)),"",VLOOKUP($D26,'START LİSTE'!$B$6:$F$836,4,0))</f>
      </c>
      <c r="G26" s="105">
        <f>IF(ISERROR(VLOOKUP($D26,'FERDİ SONUÇ'!$B$6:$H$962,6,0)),"",VLOOKUP($D26,'FERDİ SONUÇ'!$B$6:$H$962,6,0))</f>
      </c>
      <c r="H26" s="9" t="str">
        <f>IF(OR(F26="",G26="DQ",G26="DNF",G26="DNS",G26=""),"-",VLOOKUP(D26,'FERDİ SONUÇ'!$B$6:$H$962,7,0))</f>
        <v>-</v>
      </c>
      <c r="I26" s="9" t="str">
        <f>IF(OR(F26="",F26="F",G26="DQ",G26="DNF",G26="DNS",G26=""),"-",VLOOKUP(D26,'FERDİ SONUÇ'!$B$6:$H$962,7,0))</f>
        <v>-</v>
      </c>
      <c r="J26" s="11" t="str">
        <f>IF(ISERROR(SMALL(I26:I29,1)),"-",SMALL(I26:I29,1))</f>
        <v>-</v>
      </c>
      <c r="K26" s="132"/>
      <c r="L26" s="132"/>
      <c r="M26" s="132"/>
      <c r="N26" s="97"/>
      <c r="O26" s="12"/>
      <c r="BF26" s="2">
        <v>1030</v>
      </c>
    </row>
    <row r="27" spans="2:58" ht="15" customHeight="1">
      <c r="B27" s="13"/>
      <c r="C27" s="14"/>
      <c r="D27" s="109"/>
      <c r="E27" s="15">
        <f>IF(ISERROR(VLOOKUP($D27,'START LİSTE'!$B$6:$F$836,2,0)),"",VLOOKUP($D27,'START LİSTE'!$B$6:$F$836,2,0))</f>
      </c>
      <c r="F27" s="16">
        <f>IF(ISERROR(VLOOKUP($D27,'START LİSTE'!$B$6:$F$836,4,0)),"",VLOOKUP($D27,'START LİSTE'!$B$6:$F$836,4,0))</f>
      </c>
      <c r="G27" s="106">
        <f>IF(ISERROR(VLOOKUP($D27,'FERDİ SONUÇ'!$B$6:$H$962,6,0)),"",VLOOKUP($D27,'FERDİ SONUÇ'!$B$6:$H$962,6,0))</f>
      </c>
      <c r="H27" s="16" t="str">
        <f>IF(OR(F27="",G27="DQ",G27="DNF",G27="DNS",G27=""),"-",VLOOKUP(D27,'FERDİ SONUÇ'!$B$6:$H$962,7,0))</f>
        <v>-</v>
      </c>
      <c r="I27" s="16" t="str">
        <f>IF(OR(F27="",F27="F",G27="DQ",G27="DNF",G27="DNS",G27=""),"-",VLOOKUP(D27,'FERDİ SONUÇ'!$B$6:$H$962,7,0))</f>
        <v>-</v>
      </c>
      <c r="J27" s="18" t="str">
        <f>IF(ISERROR(SMALL(I26:I29,2)),"-",SMALL(I26:I29,2))</f>
        <v>-</v>
      </c>
      <c r="K27" s="133"/>
      <c r="L27" s="133"/>
      <c r="M27" s="133"/>
      <c r="N27" s="98"/>
      <c r="O27" s="19"/>
      <c r="BF27" s="2">
        <v>1031</v>
      </c>
    </row>
    <row r="28" spans="1:58" ht="15" customHeight="1">
      <c r="A28" s="101">
        <f>IF(AND(C28&lt;&gt;"",O28&lt;&gt;"DQ"),COUNT(O$6:O$1247)-(RANK(O28,O$6:O$1247)+COUNTIF(O$6:O28,O28))+2,IF(D26&lt;&gt;"",BF28,""))</f>
      </c>
      <c r="B28" s="101">
        <f>IF(AND(C28&lt;&gt;"",N28&lt;&gt;"DQ"),COUNT(N$6:N$1247)-(RANK(N28,N$6:N$1247)+COUNTIF(N$6:N28,N28))+2,IF(D26&lt;&gt;"",BF28,""))</f>
      </c>
      <c r="C28" s="14">
        <f>IF(ISERROR(VLOOKUP(D26,'START LİSTE'!$B$6:$F$836,3,0)),"",VLOOKUP(D26,'START LİSTE'!$B$6:$F$836,3,0))</f>
      </c>
      <c r="D28" s="109"/>
      <c r="E28" s="15">
        <f>IF(ISERROR(VLOOKUP($D28,'START LİSTE'!$B$6:$F$836,2,0)),"",VLOOKUP($D28,'START LİSTE'!$B$6:$F$836,2,0))</f>
      </c>
      <c r="F28" s="16">
        <f>IF(ISERROR(VLOOKUP($D28,'START LİSTE'!$B$6:$F$836,4,0)),"",VLOOKUP($D28,'START LİSTE'!$B$6:$F$836,4,0))</f>
      </c>
      <c r="G28" s="106">
        <f>IF(ISERROR(VLOOKUP($D28,'FERDİ SONUÇ'!$B$6:$H$962,6,0)),"",VLOOKUP($D28,'FERDİ SONUÇ'!$B$6:$H$962,6,0))</f>
      </c>
      <c r="H28" s="16" t="str">
        <f>IF(OR(F28="",G28="DQ",G28="DNF",G28="DNS",G28=""),"-",VLOOKUP(D28,'FERDİ SONUÇ'!$B$6:$H$962,7,0))</f>
        <v>-</v>
      </c>
      <c r="I28" s="16" t="str">
        <f>IF(OR(F28="",F28="F",G28="DQ",G28="DNF",G28="DNS",G28=""),"-",VLOOKUP(D28,'FERDİ SONUÇ'!$B$6:$H$962,7,0))</f>
        <v>-</v>
      </c>
      <c r="J28" s="18" t="str">
        <f>IF(ISERROR(SMALL(I26:I29,3)),"-",SMALL(I26:I29,3))</f>
        <v>-</v>
      </c>
      <c r="K28" s="133"/>
      <c r="L28" s="133" t="str">
        <f>N28</f>
        <v>DQ</v>
      </c>
      <c r="M28" s="133"/>
      <c r="N28" s="110" t="str">
        <f>_xlfn.IFERROR(IF(C28="","",IF(OR(J26="-",J27="-",J28="-"),"DQ",SUM(J26,J27,J28)))+(J28*0.0001),"DQ")</f>
        <v>DQ</v>
      </c>
      <c r="O28" s="110">
        <f>IF(C28="","",IF(OR(K28="DQ",L28="DQ",M28="DQ"),"DQ",SUM(K28,L28,M28)))</f>
      </c>
      <c r="BF28" s="2">
        <v>1032</v>
      </c>
    </row>
    <row r="29" spans="2:58" ht="15" customHeight="1">
      <c r="B29" s="13"/>
      <c r="C29" s="14"/>
      <c r="D29" s="109"/>
      <c r="E29" s="15">
        <f>IF(ISERROR(VLOOKUP($D29,'START LİSTE'!$B$6:$F$836,2,0)),"",VLOOKUP($D29,'START LİSTE'!$B$6:$F$836,2,0))</f>
      </c>
      <c r="F29" s="16">
        <f>IF(ISERROR(VLOOKUP($D29,'START LİSTE'!$B$6:$F$836,4,0)),"",VLOOKUP($D29,'START LİSTE'!$B$6:$F$836,4,0))</f>
      </c>
      <c r="G29" s="106">
        <f>IF(ISERROR(VLOOKUP($D29,'FERDİ SONUÇ'!$B$6:$H$962,6,0)),"",VLOOKUP($D29,'FERDİ SONUÇ'!$B$6:$H$962,6,0))</f>
      </c>
      <c r="H29" s="16" t="str">
        <f>IF(OR(F29="",G29="DQ",G29="DNF",G29="DNS",G29=""),"-",VLOOKUP(D29,'FERDİ SONUÇ'!$B$6:$H$962,7,0))</f>
        <v>-</v>
      </c>
      <c r="I29" s="16" t="str">
        <f>IF(OR(F29="",F29="F",G29="DQ",G29="DNF",G29="DNS",G29=""),"-",VLOOKUP(D29,'FERDİ SONUÇ'!$B$6:$H$962,7,0))</f>
        <v>-</v>
      </c>
      <c r="J29" s="18" t="str">
        <f>IF(ISERROR(SMALL(I26:I29,4)),"-",SMALL(I26:I29,4))</f>
        <v>-</v>
      </c>
      <c r="K29" s="133"/>
      <c r="L29" s="133"/>
      <c r="M29" s="133"/>
      <c r="N29" s="98"/>
      <c r="O29" s="19"/>
      <c r="BF29" s="2">
        <v>1033</v>
      </c>
    </row>
    <row r="30" spans="2:58" ht="15" customHeight="1">
      <c r="B30" s="6"/>
      <c r="C30" s="7"/>
      <c r="D30" s="108"/>
      <c r="E30" s="8">
        <f>IF(ISERROR(VLOOKUP($D30,'START LİSTE'!$B$6:$F$836,2,0)),"",VLOOKUP($D30,'START LİSTE'!$B$6:$F$836,2,0))</f>
      </c>
      <c r="F30" s="9">
        <f>IF(ISERROR(VLOOKUP($D30,'START LİSTE'!$B$6:$F$836,4,0)),"",VLOOKUP($D30,'START LİSTE'!$B$6:$F$836,4,0))</f>
      </c>
      <c r="G30" s="105">
        <f>IF(ISERROR(VLOOKUP($D30,'FERDİ SONUÇ'!$B$6:$H$962,6,0)),"",VLOOKUP($D30,'FERDİ SONUÇ'!$B$6:$H$962,6,0))</f>
      </c>
      <c r="H30" s="9" t="str">
        <f>IF(OR(F30="",G30="DQ",G30="DNF",G30="DNS",G30=""),"-",VLOOKUP(D30,'FERDİ SONUÇ'!$B$6:$H$962,7,0))</f>
        <v>-</v>
      </c>
      <c r="I30" s="9" t="str">
        <f>IF(OR(F30="",F30="F",G30="DQ",G30="DNF",G30="DNS",G30=""),"-",VLOOKUP(D30,'FERDİ SONUÇ'!$B$6:$H$962,7,0))</f>
        <v>-</v>
      </c>
      <c r="J30" s="11" t="str">
        <f>IF(ISERROR(SMALL(I30:I33,1)),"-",SMALL(I30:I33,1))</f>
        <v>-</v>
      </c>
      <c r="K30" s="132"/>
      <c r="L30" s="132"/>
      <c r="M30" s="132"/>
      <c r="N30" s="97"/>
      <c r="O30" s="12"/>
      <c r="BF30" s="2">
        <v>1036</v>
      </c>
    </row>
    <row r="31" spans="2:58" ht="15" customHeight="1">
      <c r="B31" s="13"/>
      <c r="C31" s="14"/>
      <c r="D31" s="109"/>
      <c r="E31" s="15">
        <f>IF(ISERROR(VLOOKUP($D31,'START LİSTE'!$B$6:$F$836,2,0)),"",VLOOKUP($D31,'START LİSTE'!$B$6:$F$836,2,0))</f>
      </c>
      <c r="F31" s="16">
        <f>IF(ISERROR(VLOOKUP($D31,'START LİSTE'!$B$6:$F$836,4,0)),"",VLOOKUP($D31,'START LİSTE'!$B$6:$F$836,4,0))</f>
      </c>
      <c r="G31" s="106">
        <f>IF(ISERROR(VLOOKUP($D31,'FERDİ SONUÇ'!$B$6:$H$962,6,0)),"",VLOOKUP($D31,'FERDİ SONUÇ'!$B$6:$H$962,6,0))</f>
      </c>
      <c r="H31" s="16" t="str">
        <f>IF(OR(F31="",G31="DQ",G31="DNF",G31="DNS",G31=""),"-",VLOOKUP(D31,'FERDİ SONUÇ'!$B$6:$H$962,7,0))</f>
        <v>-</v>
      </c>
      <c r="I31" s="16" t="str">
        <f>IF(OR(F31="",F31="F",G31="DQ",G31="DNF",G31="DNS",G31=""),"-",VLOOKUP(D31,'FERDİ SONUÇ'!$B$6:$H$962,7,0))</f>
        <v>-</v>
      </c>
      <c r="J31" s="18" t="str">
        <f>IF(ISERROR(SMALL(I30:I33,2)),"-",SMALL(I30:I33,2))</f>
        <v>-</v>
      </c>
      <c r="K31" s="133"/>
      <c r="L31" s="133"/>
      <c r="M31" s="133"/>
      <c r="N31" s="98"/>
      <c r="O31" s="19"/>
      <c r="BF31" s="2">
        <v>1037</v>
      </c>
    </row>
    <row r="32" spans="1:58" ht="15" customHeight="1">
      <c r="A32" s="101">
        <f>IF(AND(C32&lt;&gt;"",O32&lt;&gt;"DQ"),COUNT(O$6:O$1247)-(RANK(O32,O$6:O$1247)+COUNTIF(O$6:O32,O32))+2,IF(D30&lt;&gt;"",BF32,""))</f>
      </c>
      <c r="B32" s="101">
        <f>IF(AND(C32&lt;&gt;"",N32&lt;&gt;"DQ"),COUNT(N$6:N$1247)-(RANK(N32,N$6:N$1247)+COUNTIF(N$6:N32,N32))+2,IF(D30&lt;&gt;"",BF32,""))</f>
      </c>
      <c r="C32" s="14">
        <f>IF(ISERROR(VLOOKUP(D30,'START LİSTE'!$B$6:$F$836,3,0)),"",VLOOKUP(D30,'START LİSTE'!$B$6:$F$836,3,0))</f>
      </c>
      <c r="D32" s="109"/>
      <c r="E32" s="15">
        <f>IF(ISERROR(VLOOKUP($D32,'START LİSTE'!$B$6:$F$836,2,0)),"",VLOOKUP($D32,'START LİSTE'!$B$6:$F$836,2,0))</f>
      </c>
      <c r="F32" s="16">
        <f>IF(ISERROR(VLOOKUP($D32,'START LİSTE'!$B$6:$F$836,4,0)),"",VLOOKUP($D32,'START LİSTE'!$B$6:$F$836,4,0))</f>
      </c>
      <c r="G32" s="106">
        <f>IF(ISERROR(VLOOKUP($D32,'FERDİ SONUÇ'!$B$6:$H$962,6,0)),"",VLOOKUP($D32,'FERDİ SONUÇ'!$B$6:$H$962,6,0))</f>
      </c>
      <c r="H32" s="16" t="str">
        <f>IF(OR(F32="",G32="DQ",G32="DNF",G32="DNS",G32=""),"-",VLOOKUP(D32,'FERDİ SONUÇ'!$B$6:$H$962,7,0))</f>
        <v>-</v>
      </c>
      <c r="I32" s="16" t="str">
        <f>IF(OR(F32="",F32="F",G32="DQ",G32="DNF",G32="DNS",G32=""),"-",VLOOKUP(D32,'FERDİ SONUÇ'!$B$6:$H$962,7,0))</f>
        <v>-</v>
      </c>
      <c r="J32" s="18" t="str">
        <f>IF(ISERROR(SMALL(I30:I33,3)),"-",SMALL(I30:I33,3))</f>
        <v>-</v>
      </c>
      <c r="K32" s="133"/>
      <c r="L32" s="133" t="str">
        <f>N32</f>
        <v>DQ</v>
      </c>
      <c r="M32" s="133"/>
      <c r="N32" s="110" t="str">
        <f>_xlfn.IFERROR(IF(C32="","",IF(OR(J30="-",J31="-",J32="-"),"DQ",SUM(J30,J31,J32)))+(J32*0.0001),"DQ")</f>
        <v>DQ</v>
      </c>
      <c r="O32" s="110">
        <f>IF(C32="","",IF(OR(K32="DQ",L32="DQ",M32="DQ"),"DQ",SUM(K32,L32,M32)))</f>
      </c>
      <c r="BF32" s="2">
        <v>1038</v>
      </c>
    </row>
    <row r="33" spans="2:58" ht="15" customHeight="1">
      <c r="B33" s="13"/>
      <c r="C33" s="14"/>
      <c r="D33" s="109"/>
      <c r="E33" s="15">
        <f>IF(ISERROR(VLOOKUP($D33,'START LİSTE'!$B$6:$F$836,2,0)),"",VLOOKUP($D33,'START LİSTE'!$B$6:$F$836,2,0))</f>
      </c>
      <c r="F33" s="16">
        <f>IF(ISERROR(VLOOKUP($D33,'START LİSTE'!$B$6:$F$836,4,0)),"",VLOOKUP($D33,'START LİSTE'!$B$6:$F$836,4,0))</f>
      </c>
      <c r="G33" s="106">
        <f>IF(ISERROR(VLOOKUP($D33,'FERDİ SONUÇ'!$B$6:$H$962,6,0)),"",VLOOKUP($D33,'FERDİ SONUÇ'!$B$6:$H$962,6,0))</f>
      </c>
      <c r="H33" s="16" t="str">
        <f>IF(OR(F33="",G33="DQ",G33="DNF",G33="DNS",G33=""),"-",VLOOKUP(D33,'FERDİ SONUÇ'!$B$6:$H$962,7,0))</f>
        <v>-</v>
      </c>
      <c r="I33" s="16" t="str">
        <f>IF(OR(F33="",F33="F",G33="DQ",G33="DNF",G33="DNS",G33=""),"-",VLOOKUP(D33,'FERDİ SONUÇ'!$B$6:$H$962,7,0))</f>
        <v>-</v>
      </c>
      <c r="J33" s="18" t="str">
        <f>IF(ISERROR(SMALL(I30:I33,4)),"-",SMALL(I30:I33,4))</f>
        <v>-</v>
      </c>
      <c r="K33" s="133"/>
      <c r="L33" s="133"/>
      <c r="M33" s="133"/>
      <c r="N33" s="98"/>
      <c r="O33" s="19"/>
      <c r="BF33" s="2">
        <v>1039</v>
      </c>
    </row>
    <row r="34" spans="2:58" ht="15" customHeight="1">
      <c r="B34" s="6"/>
      <c r="C34" s="7"/>
      <c r="D34" s="108"/>
      <c r="E34" s="8">
        <f>IF(ISERROR(VLOOKUP($D34,'START LİSTE'!$B$6:$F$836,2,0)),"",VLOOKUP($D34,'START LİSTE'!$B$6:$F$836,2,0))</f>
      </c>
      <c r="F34" s="9">
        <f>IF(ISERROR(VLOOKUP($D34,'START LİSTE'!$B$6:$F$836,4,0)),"",VLOOKUP($D34,'START LİSTE'!$B$6:$F$836,4,0))</f>
      </c>
      <c r="G34" s="105">
        <f>IF(ISERROR(VLOOKUP($D34,'FERDİ SONUÇ'!$B$6:$H$962,6,0)),"",VLOOKUP($D34,'FERDİ SONUÇ'!$B$6:$H$962,6,0))</f>
      </c>
      <c r="H34" s="9" t="str">
        <f>IF(OR(F34="",G34="DQ",G34="DNF",G34="DNS",G34=""),"-",VLOOKUP(D34,'FERDİ SONUÇ'!$B$6:$H$962,7,0))</f>
        <v>-</v>
      </c>
      <c r="I34" s="9" t="str">
        <f>IF(OR(F34="",F34="F",G34="DQ",G34="DNF",G34="DNS",G34=""),"-",VLOOKUP(D34,'FERDİ SONUÇ'!$B$6:$H$962,7,0))</f>
        <v>-</v>
      </c>
      <c r="J34" s="11" t="str">
        <f>IF(ISERROR(SMALL(I34:I37,1)),"-",SMALL(I34:I37,1))</f>
        <v>-</v>
      </c>
      <c r="K34" s="132"/>
      <c r="L34" s="132"/>
      <c r="M34" s="132"/>
      <c r="N34" s="97"/>
      <c r="O34" s="12"/>
      <c r="BF34" s="2">
        <v>1042</v>
      </c>
    </row>
    <row r="35" spans="2:58" ht="15" customHeight="1">
      <c r="B35" s="13"/>
      <c r="C35" s="14"/>
      <c r="D35" s="109"/>
      <c r="E35" s="15">
        <f>IF(ISERROR(VLOOKUP($D35,'START LİSTE'!$B$6:$F$836,2,0)),"",VLOOKUP($D35,'START LİSTE'!$B$6:$F$836,2,0))</f>
      </c>
      <c r="F35" s="16">
        <f>IF(ISERROR(VLOOKUP($D35,'START LİSTE'!$B$6:$F$836,4,0)),"",VLOOKUP($D35,'START LİSTE'!$B$6:$F$836,4,0))</f>
      </c>
      <c r="G35" s="106">
        <f>IF(ISERROR(VLOOKUP($D35,'FERDİ SONUÇ'!$B$6:$H$962,6,0)),"",VLOOKUP($D35,'FERDİ SONUÇ'!$B$6:$H$962,6,0))</f>
      </c>
      <c r="H35" s="16" t="str">
        <f>IF(OR(F35="",G35="DQ",G35="DNF",G35="DNS",G35=""),"-",VLOOKUP(D35,'FERDİ SONUÇ'!$B$6:$H$962,7,0))</f>
        <v>-</v>
      </c>
      <c r="I35" s="16" t="str">
        <f>IF(OR(F35="",F35="F",G35="DQ",G35="DNF",G35="DNS",G35=""),"-",VLOOKUP(D35,'FERDİ SONUÇ'!$B$6:$H$962,7,0))</f>
        <v>-</v>
      </c>
      <c r="J35" s="18" t="str">
        <f>IF(ISERROR(SMALL(I34:I37,2)),"-",SMALL(I34:I37,2))</f>
        <v>-</v>
      </c>
      <c r="K35" s="133"/>
      <c r="L35" s="133"/>
      <c r="M35" s="133"/>
      <c r="N35" s="98"/>
      <c r="O35" s="19"/>
      <c r="BF35" s="2">
        <v>1043</v>
      </c>
    </row>
    <row r="36" spans="1:58" ht="15" customHeight="1">
      <c r="A36" s="101">
        <f>IF(AND(C36&lt;&gt;"",O36&lt;&gt;"DQ"),COUNT(O$6:O$1247)-(RANK(O36,O$6:O$1247)+COUNTIF(O$6:O36,O36))+2,IF(D34&lt;&gt;"",BF36,""))</f>
      </c>
      <c r="B36" s="101">
        <f>IF(AND(C36&lt;&gt;"",N36&lt;&gt;"DQ"),COUNT(N$6:N$1247)-(RANK(N36,N$6:N$1247)+COUNTIF(N$6:N36,N36))+2,IF(D34&lt;&gt;"",BF36,""))</f>
      </c>
      <c r="C36" s="14">
        <f>IF(ISERROR(VLOOKUP(D34,'START LİSTE'!$B$6:$F$836,3,0)),"",VLOOKUP(D34,'START LİSTE'!$B$6:$F$836,3,0))</f>
      </c>
      <c r="D36" s="109"/>
      <c r="E36" s="15">
        <f>IF(ISERROR(VLOOKUP($D36,'START LİSTE'!$B$6:$F$836,2,0)),"",VLOOKUP($D36,'START LİSTE'!$B$6:$F$836,2,0))</f>
      </c>
      <c r="F36" s="16">
        <f>IF(ISERROR(VLOOKUP($D36,'START LİSTE'!$B$6:$F$836,4,0)),"",VLOOKUP($D36,'START LİSTE'!$B$6:$F$836,4,0))</f>
      </c>
      <c r="G36" s="106">
        <f>IF(ISERROR(VLOOKUP($D36,'FERDİ SONUÇ'!$B$6:$H$962,6,0)),"",VLOOKUP($D36,'FERDİ SONUÇ'!$B$6:$H$962,6,0))</f>
      </c>
      <c r="H36" s="16" t="str">
        <f>IF(OR(F36="",G36="DQ",G36="DNF",G36="DNS",G36=""),"-",VLOOKUP(D36,'FERDİ SONUÇ'!$B$6:$H$962,7,0))</f>
        <v>-</v>
      </c>
      <c r="I36" s="16" t="str">
        <f>IF(OR(F36="",F36="F",G36="DQ",G36="DNF",G36="DNS",G36=""),"-",VLOOKUP(D36,'FERDİ SONUÇ'!$B$6:$H$962,7,0))</f>
        <v>-</v>
      </c>
      <c r="J36" s="18" t="str">
        <f>IF(ISERROR(SMALL(I34:I37,3)),"-",SMALL(I34:I37,3))</f>
        <v>-</v>
      </c>
      <c r="K36" s="133"/>
      <c r="L36" s="133" t="str">
        <f>N36</f>
        <v>DQ</v>
      </c>
      <c r="M36" s="133"/>
      <c r="N36" s="110" t="str">
        <f>_xlfn.IFERROR(IF(C36="","",IF(OR(J34="-",J35="-",J36="-"),"DQ",SUM(J34,J35,J36)))+(J36*0.0001),"DQ")</f>
        <v>DQ</v>
      </c>
      <c r="O36" s="110">
        <f>IF(C36="","",IF(OR(K36="DQ",L36="DQ",M36="DQ"),"DQ",SUM(K36,L36,M36)))</f>
      </c>
      <c r="BF36" s="2">
        <v>1044</v>
      </c>
    </row>
    <row r="37" spans="2:58" ht="15" customHeight="1">
      <c r="B37" s="13"/>
      <c r="C37" s="14"/>
      <c r="D37" s="109"/>
      <c r="E37" s="15">
        <f>IF(ISERROR(VLOOKUP($D37,'START LİSTE'!$B$6:$F$836,2,0)),"",VLOOKUP($D37,'START LİSTE'!$B$6:$F$836,2,0))</f>
      </c>
      <c r="F37" s="16">
        <f>IF(ISERROR(VLOOKUP($D37,'START LİSTE'!$B$6:$F$836,4,0)),"",VLOOKUP($D37,'START LİSTE'!$B$6:$F$836,4,0))</f>
      </c>
      <c r="G37" s="106">
        <f>IF(ISERROR(VLOOKUP($D37,'FERDİ SONUÇ'!$B$6:$H$962,6,0)),"",VLOOKUP($D37,'FERDİ SONUÇ'!$B$6:$H$962,6,0))</f>
      </c>
      <c r="H37" s="16" t="str">
        <f>IF(OR(F37="",G37="DQ",G37="DNF",G37="DNS",G37=""),"-",VLOOKUP(D37,'FERDİ SONUÇ'!$B$6:$H$962,7,0))</f>
        <v>-</v>
      </c>
      <c r="I37" s="16" t="str">
        <f>IF(OR(F37="",F37="F",G37="DQ",G37="DNF",G37="DNS",G37=""),"-",VLOOKUP(D37,'FERDİ SONUÇ'!$B$6:$H$962,7,0))</f>
        <v>-</v>
      </c>
      <c r="J37" s="18" t="str">
        <f>IF(ISERROR(SMALL(I34:I37,4)),"-",SMALL(I34:I37,4))</f>
        <v>-</v>
      </c>
      <c r="K37" s="133"/>
      <c r="L37" s="133"/>
      <c r="M37" s="133"/>
      <c r="N37" s="98"/>
      <c r="O37" s="19"/>
      <c r="BF37" s="2">
        <v>1045</v>
      </c>
    </row>
    <row r="38" spans="2:58" ht="15" customHeight="1">
      <c r="B38" s="6"/>
      <c r="C38" s="7"/>
      <c r="D38" s="108"/>
      <c r="E38" s="8">
        <f>IF(ISERROR(VLOOKUP($D38,'START LİSTE'!$B$6:$F$836,2,0)),"",VLOOKUP($D38,'START LİSTE'!$B$6:$F$836,2,0))</f>
      </c>
      <c r="F38" s="9">
        <f>IF(ISERROR(VLOOKUP($D38,'START LİSTE'!$B$6:$F$836,4,0)),"",VLOOKUP($D38,'START LİSTE'!$B$6:$F$836,4,0))</f>
      </c>
      <c r="G38" s="105">
        <f>IF(ISERROR(VLOOKUP($D38,'FERDİ SONUÇ'!$B$6:$H$962,6,0)),"",VLOOKUP($D38,'FERDİ SONUÇ'!$B$6:$H$962,6,0))</f>
      </c>
      <c r="H38" s="9" t="str">
        <f>IF(OR(F38="",G38="DQ",G38="DNF",G38="DNS",G38=""),"-",VLOOKUP(D38,'FERDİ SONUÇ'!$B$6:$H$962,7,0))</f>
        <v>-</v>
      </c>
      <c r="I38" s="9" t="str">
        <f>IF(OR(F38="",F38="F",G38="DQ",G38="DNF",G38="DNS",G38=""),"-",VLOOKUP(D38,'FERDİ SONUÇ'!$B$6:$H$962,7,0))</f>
        <v>-</v>
      </c>
      <c r="J38" s="11" t="str">
        <f>IF(ISERROR(SMALL(I38:I41,1)),"-",SMALL(I38:I41,1))</f>
        <v>-</v>
      </c>
      <c r="K38" s="132"/>
      <c r="L38" s="132"/>
      <c r="M38" s="132"/>
      <c r="N38" s="97"/>
      <c r="O38" s="12"/>
      <c r="BF38" s="2">
        <v>1048</v>
      </c>
    </row>
    <row r="39" spans="2:58" ht="15" customHeight="1">
      <c r="B39" s="13"/>
      <c r="C39" s="14"/>
      <c r="D39" s="109"/>
      <c r="E39" s="15">
        <f>IF(ISERROR(VLOOKUP($D39,'START LİSTE'!$B$6:$F$836,2,0)),"",VLOOKUP($D39,'START LİSTE'!$B$6:$F$836,2,0))</f>
      </c>
      <c r="F39" s="16">
        <f>IF(ISERROR(VLOOKUP($D39,'START LİSTE'!$B$6:$F$836,4,0)),"",VLOOKUP($D39,'START LİSTE'!$B$6:$F$836,4,0))</f>
      </c>
      <c r="G39" s="106">
        <f>IF(ISERROR(VLOOKUP($D39,'FERDİ SONUÇ'!$B$6:$H$962,6,0)),"",VLOOKUP($D39,'FERDİ SONUÇ'!$B$6:$H$962,6,0))</f>
      </c>
      <c r="H39" s="16" t="str">
        <f>IF(OR(F39="",G39="DQ",G39="DNF",G39="DNS",G39=""),"-",VLOOKUP(D39,'FERDİ SONUÇ'!$B$6:$H$962,7,0))</f>
        <v>-</v>
      </c>
      <c r="I39" s="16" t="str">
        <f>IF(OR(F39="",F39="F",G39="DQ",G39="DNF",G39="DNS",G39=""),"-",VLOOKUP(D39,'FERDİ SONUÇ'!$B$6:$H$962,7,0))</f>
        <v>-</v>
      </c>
      <c r="J39" s="18" t="str">
        <f>IF(ISERROR(SMALL(I38:I41,2)),"-",SMALL(I38:I41,2))</f>
        <v>-</v>
      </c>
      <c r="K39" s="133"/>
      <c r="L39" s="133"/>
      <c r="M39" s="133"/>
      <c r="N39" s="98"/>
      <c r="O39" s="19"/>
      <c r="BF39" s="2">
        <v>1049</v>
      </c>
    </row>
    <row r="40" spans="1:58" ht="15" customHeight="1">
      <c r="A40" s="101">
        <f>IF(AND(C40&lt;&gt;"",O40&lt;&gt;"DQ"),COUNT(O$6:O$1247)-(RANK(O40,O$6:O$1247)+COUNTIF(O$6:O40,O40))+2,IF(D38&lt;&gt;"",BF40,""))</f>
      </c>
      <c r="B40" s="101">
        <f>IF(AND(C40&lt;&gt;"",N40&lt;&gt;"DQ"),COUNT(N$6:N$1247)-(RANK(N40,N$6:N$1247)+COUNTIF(N$6:N40,N40))+2,IF(D38&lt;&gt;"",BF40,""))</f>
      </c>
      <c r="C40" s="14">
        <f>IF(ISERROR(VLOOKUP(D38,'START LİSTE'!$B$6:$F$836,3,0)),"",VLOOKUP(D38,'START LİSTE'!$B$6:$F$836,3,0))</f>
      </c>
      <c r="D40" s="109"/>
      <c r="E40" s="15">
        <f>IF(ISERROR(VLOOKUP($D40,'START LİSTE'!$B$6:$F$836,2,0)),"",VLOOKUP($D40,'START LİSTE'!$B$6:$F$836,2,0))</f>
      </c>
      <c r="F40" s="16">
        <f>IF(ISERROR(VLOOKUP($D40,'START LİSTE'!$B$6:$F$836,4,0)),"",VLOOKUP($D40,'START LİSTE'!$B$6:$F$836,4,0))</f>
      </c>
      <c r="G40" s="106">
        <f>IF(ISERROR(VLOOKUP($D40,'FERDİ SONUÇ'!$B$6:$H$962,6,0)),"",VLOOKUP($D40,'FERDİ SONUÇ'!$B$6:$H$962,6,0))</f>
      </c>
      <c r="H40" s="16" t="str">
        <f>IF(OR(F40="",G40="DQ",G40="DNF",G40="DNS",G40=""),"-",VLOOKUP(D40,'FERDİ SONUÇ'!$B$6:$H$962,7,0))</f>
        <v>-</v>
      </c>
      <c r="I40" s="16" t="str">
        <f>IF(OR(F40="",F40="F",G40="DQ",G40="DNF",G40="DNS",G40=""),"-",VLOOKUP(D40,'FERDİ SONUÇ'!$B$6:$H$962,7,0))</f>
        <v>-</v>
      </c>
      <c r="J40" s="18" t="str">
        <f>IF(ISERROR(SMALL(I38:I41,3)),"-",SMALL(I38:I41,3))</f>
        <v>-</v>
      </c>
      <c r="K40" s="133"/>
      <c r="L40" s="133" t="str">
        <f>N40</f>
        <v>DQ</v>
      </c>
      <c r="M40" s="133"/>
      <c r="N40" s="110" t="str">
        <f>_xlfn.IFERROR(IF(C40="","",IF(OR(J38="-",J39="-",J40="-"),"DQ",SUM(J38,J39,J40)))+(J40*0.0001),"DQ")</f>
        <v>DQ</v>
      </c>
      <c r="O40" s="110">
        <f>IF(C40="","",IF(OR(K40="DQ",L40="DQ",M40="DQ"),"DQ",SUM(K40,L40,M40)))</f>
      </c>
      <c r="BF40" s="2">
        <v>1050</v>
      </c>
    </row>
    <row r="41" spans="2:58" ht="15" customHeight="1">
      <c r="B41" s="13"/>
      <c r="C41" s="14"/>
      <c r="D41" s="109"/>
      <c r="E41" s="15">
        <f>IF(ISERROR(VLOOKUP($D41,'START LİSTE'!$B$6:$F$836,2,0)),"",VLOOKUP($D41,'START LİSTE'!$B$6:$F$836,2,0))</f>
      </c>
      <c r="F41" s="16">
        <f>IF(ISERROR(VLOOKUP($D41,'START LİSTE'!$B$6:$F$836,4,0)),"",VLOOKUP($D41,'START LİSTE'!$B$6:$F$836,4,0))</f>
      </c>
      <c r="G41" s="106">
        <f>IF(ISERROR(VLOOKUP($D41,'FERDİ SONUÇ'!$B$6:$H$962,6,0)),"",VLOOKUP($D41,'FERDİ SONUÇ'!$B$6:$H$962,6,0))</f>
      </c>
      <c r="H41" s="16" t="str">
        <f>IF(OR(F41="",G41="DQ",G41="DNF",G41="DNS",G41=""),"-",VLOOKUP(D41,'FERDİ SONUÇ'!$B$6:$H$962,7,0))</f>
        <v>-</v>
      </c>
      <c r="I41" s="16" t="str">
        <f>IF(OR(F41="",F41="F",G41="DQ",G41="DNF",G41="DNS",G41=""),"-",VLOOKUP(D41,'FERDİ SONUÇ'!$B$6:$H$962,7,0))</f>
        <v>-</v>
      </c>
      <c r="J41" s="18" t="str">
        <f>IF(ISERROR(SMALL(I38:I41,4)),"-",SMALL(I38:I41,4))</f>
        <v>-</v>
      </c>
      <c r="K41" s="133"/>
      <c r="L41" s="133"/>
      <c r="M41" s="133"/>
      <c r="N41" s="98"/>
      <c r="O41" s="19"/>
      <c r="BF41" s="2">
        <v>1051</v>
      </c>
    </row>
    <row r="42" spans="2:58" ht="15" customHeight="1">
      <c r="B42" s="6"/>
      <c r="C42" s="7"/>
      <c r="D42" s="108"/>
      <c r="E42" s="8">
        <f>IF(ISERROR(VLOOKUP($D42,'START LİSTE'!$B$6:$F$836,2,0)),"",VLOOKUP($D42,'START LİSTE'!$B$6:$F$836,2,0))</f>
      </c>
      <c r="F42" s="9">
        <f>IF(ISERROR(VLOOKUP($D42,'START LİSTE'!$B$6:$F$836,4,0)),"",VLOOKUP($D42,'START LİSTE'!$B$6:$F$836,4,0))</f>
      </c>
      <c r="G42" s="105">
        <f>IF(ISERROR(VLOOKUP($D42,'FERDİ SONUÇ'!$B$6:$H$962,6,0)),"",VLOOKUP($D42,'FERDİ SONUÇ'!$B$6:$H$962,6,0))</f>
      </c>
      <c r="H42" s="9" t="str">
        <f>IF(OR(F42="",G42="DQ",G42="DNF",G42="DNS",G42=""),"-",VLOOKUP(D42,'FERDİ SONUÇ'!$B$6:$H$962,7,0))</f>
        <v>-</v>
      </c>
      <c r="I42" s="9" t="str">
        <f>IF(OR(F42="",F42="F",G42="DQ",G42="DNF",G42="DNS",G42=""),"-",VLOOKUP(D42,'FERDİ SONUÇ'!$B$6:$H$962,7,0))</f>
        <v>-</v>
      </c>
      <c r="J42" s="11" t="str">
        <f>IF(ISERROR(SMALL(I42:I45,1)),"-",SMALL(I42:I45,1))</f>
        <v>-</v>
      </c>
      <c r="K42" s="132"/>
      <c r="L42" s="132"/>
      <c r="M42" s="132"/>
      <c r="N42" s="97"/>
      <c r="O42" s="12"/>
      <c r="BF42" s="2">
        <v>1054</v>
      </c>
    </row>
    <row r="43" spans="2:58" ht="15" customHeight="1">
      <c r="B43" s="13"/>
      <c r="C43" s="14"/>
      <c r="D43" s="109"/>
      <c r="E43" s="15">
        <f>IF(ISERROR(VLOOKUP($D43,'START LİSTE'!$B$6:$F$836,2,0)),"",VLOOKUP($D43,'START LİSTE'!$B$6:$F$836,2,0))</f>
      </c>
      <c r="F43" s="16">
        <f>IF(ISERROR(VLOOKUP($D43,'START LİSTE'!$B$6:$F$836,4,0)),"",VLOOKUP($D43,'START LİSTE'!$B$6:$F$836,4,0))</f>
      </c>
      <c r="G43" s="106">
        <f>IF(ISERROR(VLOOKUP($D43,'FERDİ SONUÇ'!$B$6:$H$962,6,0)),"",VLOOKUP($D43,'FERDİ SONUÇ'!$B$6:$H$962,6,0))</f>
      </c>
      <c r="H43" s="16" t="str">
        <f>IF(OR(F43="",G43="DQ",G43="DNF",G43="DNS",G43=""),"-",VLOOKUP(D43,'FERDİ SONUÇ'!$B$6:$H$962,7,0))</f>
        <v>-</v>
      </c>
      <c r="I43" s="16" t="str">
        <f>IF(OR(F43="",F43="F",G43="DQ",G43="DNF",G43="DNS",G43=""),"-",VLOOKUP(D43,'FERDİ SONUÇ'!$B$6:$H$962,7,0))</f>
        <v>-</v>
      </c>
      <c r="J43" s="18" t="str">
        <f>IF(ISERROR(SMALL(I42:I45,2)),"-",SMALL(I42:I45,2))</f>
        <v>-</v>
      </c>
      <c r="K43" s="133"/>
      <c r="L43" s="133"/>
      <c r="M43" s="133"/>
      <c r="N43" s="98"/>
      <c r="O43" s="19"/>
      <c r="BF43" s="2">
        <v>1055</v>
      </c>
    </row>
    <row r="44" spans="1:58" ht="15" customHeight="1">
      <c r="A44" s="101">
        <f>IF(AND(C44&lt;&gt;"",O44&lt;&gt;"DQ"),COUNT(O$6:O$1247)-(RANK(O44,O$6:O$1247)+COUNTIF(O$6:O44,O44))+2,IF(D42&lt;&gt;"",BF44,""))</f>
      </c>
      <c r="B44" s="101">
        <f>IF(AND(C44&lt;&gt;"",N44&lt;&gt;"DQ"),COUNT(N$6:N$1247)-(RANK(N44,N$6:N$1247)+COUNTIF(N$6:N44,N44))+2,IF(D42&lt;&gt;"",BF44,""))</f>
      </c>
      <c r="C44" s="14">
        <f>IF(ISERROR(VLOOKUP(D42,'START LİSTE'!$B$6:$F$836,3,0)),"",VLOOKUP(D42,'START LİSTE'!$B$6:$F$836,3,0))</f>
      </c>
      <c r="D44" s="109"/>
      <c r="E44" s="15">
        <f>IF(ISERROR(VLOOKUP($D44,'START LİSTE'!$B$6:$F$836,2,0)),"",VLOOKUP($D44,'START LİSTE'!$B$6:$F$836,2,0))</f>
      </c>
      <c r="F44" s="16">
        <f>IF(ISERROR(VLOOKUP($D44,'START LİSTE'!$B$6:$F$836,4,0)),"",VLOOKUP($D44,'START LİSTE'!$B$6:$F$836,4,0))</f>
      </c>
      <c r="G44" s="106">
        <f>IF(ISERROR(VLOOKUP($D44,'FERDİ SONUÇ'!$B$6:$H$962,6,0)),"",VLOOKUP($D44,'FERDİ SONUÇ'!$B$6:$H$962,6,0))</f>
      </c>
      <c r="H44" s="16" t="str">
        <f>IF(OR(F44="",G44="DQ",G44="DNF",G44="DNS",G44=""),"-",VLOOKUP(D44,'FERDİ SONUÇ'!$B$6:$H$962,7,0))</f>
        <v>-</v>
      </c>
      <c r="I44" s="16" t="str">
        <f>IF(OR(F44="",F44="F",G44="DQ",G44="DNF",G44="DNS",G44=""),"-",VLOOKUP(D44,'FERDİ SONUÇ'!$B$6:$H$962,7,0))</f>
        <v>-</v>
      </c>
      <c r="J44" s="18" t="str">
        <f>IF(ISERROR(SMALL(I42:I45,3)),"-",SMALL(I42:I45,3))</f>
        <v>-</v>
      </c>
      <c r="K44" s="133"/>
      <c r="L44" s="133" t="str">
        <f>N44</f>
        <v>DQ</v>
      </c>
      <c r="M44" s="133"/>
      <c r="N44" s="110" t="str">
        <f>_xlfn.IFERROR(IF(C44="","",IF(OR(J42="-",J43="-",J44="-"),"DQ",SUM(J42,J43,J44)))+(J44*0.0001),"DQ")</f>
        <v>DQ</v>
      </c>
      <c r="O44" s="110">
        <f>IF(C44="","",IF(OR(K44="DQ",L44="DQ",M44="DQ"),"DQ",SUM(K44,L44,M44)))</f>
      </c>
      <c r="BF44" s="2">
        <v>1056</v>
      </c>
    </row>
    <row r="45" spans="2:58" ht="15" customHeight="1">
      <c r="B45" s="13"/>
      <c r="C45" s="14"/>
      <c r="D45" s="109"/>
      <c r="E45" s="15">
        <f>IF(ISERROR(VLOOKUP($D45,'START LİSTE'!$B$6:$F$836,2,0)),"",VLOOKUP($D45,'START LİSTE'!$B$6:$F$836,2,0))</f>
      </c>
      <c r="F45" s="16">
        <f>IF(ISERROR(VLOOKUP($D45,'START LİSTE'!$B$6:$F$836,4,0)),"",VLOOKUP($D45,'START LİSTE'!$B$6:$F$836,4,0))</f>
      </c>
      <c r="G45" s="106">
        <f>IF(ISERROR(VLOOKUP($D45,'FERDİ SONUÇ'!$B$6:$H$962,6,0)),"",VLOOKUP($D45,'FERDİ SONUÇ'!$B$6:$H$962,6,0))</f>
      </c>
      <c r="H45" s="16" t="str">
        <f>IF(OR(F45="",G45="DQ",G45="DNF",G45="DNS",G45=""),"-",VLOOKUP(D45,'FERDİ SONUÇ'!$B$6:$H$962,7,0))</f>
        <v>-</v>
      </c>
      <c r="I45" s="16" t="str">
        <f>IF(OR(F45="",F45="F",G45="DQ",G45="DNF",G45="DNS",G45=""),"-",VLOOKUP(D45,'FERDİ SONUÇ'!$B$6:$H$962,7,0))</f>
        <v>-</v>
      </c>
      <c r="J45" s="18" t="str">
        <f>IF(ISERROR(SMALL(I42:I45,4)),"-",SMALL(I42:I45,4))</f>
        <v>-</v>
      </c>
      <c r="K45" s="133"/>
      <c r="L45" s="133"/>
      <c r="M45" s="133"/>
      <c r="N45" s="98"/>
      <c r="O45" s="19"/>
      <c r="BF45" s="2">
        <v>1057</v>
      </c>
    </row>
    <row r="46" spans="2:58" ht="15" customHeight="1">
      <c r="B46" s="6"/>
      <c r="C46" s="7"/>
      <c r="D46" s="108"/>
      <c r="E46" s="8">
        <f>IF(ISERROR(VLOOKUP($D46,'START LİSTE'!$B$6:$F$836,2,0)),"",VLOOKUP($D46,'START LİSTE'!$B$6:$F$836,2,0))</f>
      </c>
      <c r="F46" s="9">
        <f>IF(ISERROR(VLOOKUP($D46,'START LİSTE'!$B$6:$F$836,4,0)),"",VLOOKUP($D46,'START LİSTE'!$B$6:$F$836,4,0))</f>
      </c>
      <c r="G46" s="105">
        <f>IF(ISERROR(VLOOKUP($D46,'FERDİ SONUÇ'!$B$6:$H$962,6,0)),"",VLOOKUP($D46,'FERDİ SONUÇ'!$B$6:$H$962,6,0))</f>
      </c>
      <c r="H46" s="9" t="str">
        <f>IF(OR(F46="",G46="DQ",G46="DNF",G46="DNS",G46=""),"-",VLOOKUP(D46,'FERDİ SONUÇ'!$B$6:$H$962,7,0))</f>
        <v>-</v>
      </c>
      <c r="I46" s="9" t="str">
        <f>IF(OR(F46="",F46="F",G46="DQ",G46="DNF",G46="DNS",G46=""),"-",VLOOKUP(D46,'FERDİ SONUÇ'!$B$6:$H$962,7,0))</f>
        <v>-</v>
      </c>
      <c r="J46" s="11" t="str">
        <f>IF(ISERROR(SMALL(I46:I49,1)),"-",SMALL(I46:I49,1))</f>
        <v>-</v>
      </c>
      <c r="K46" s="132"/>
      <c r="L46" s="132"/>
      <c r="M46" s="132"/>
      <c r="N46" s="97"/>
      <c r="O46" s="12"/>
      <c r="BF46" s="2">
        <v>1060</v>
      </c>
    </row>
    <row r="47" spans="2:58" ht="15" customHeight="1">
      <c r="B47" s="13"/>
      <c r="C47" s="14"/>
      <c r="D47" s="109"/>
      <c r="E47" s="15">
        <f>IF(ISERROR(VLOOKUP($D47,'START LİSTE'!$B$6:$F$836,2,0)),"",VLOOKUP($D47,'START LİSTE'!$B$6:$F$836,2,0))</f>
      </c>
      <c r="F47" s="16">
        <f>IF(ISERROR(VLOOKUP($D47,'START LİSTE'!$B$6:$F$836,4,0)),"",VLOOKUP($D47,'START LİSTE'!$B$6:$F$836,4,0))</f>
      </c>
      <c r="G47" s="106">
        <f>IF(ISERROR(VLOOKUP($D47,'FERDİ SONUÇ'!$B$6:$H$962,6,0)),"",VLOOKUP($D47,'FERDİ SONUÇ'!$B$6:$H$962,6,0))</f>
      </c>
      <c r="H47" s="16" t="str">
        <f>IF(OR(F47="",G47="DQ",G47="DNF",G47="DNS",G47=""),"-",VLOOKUP(D47,'FERDİ SONUÇ'!$B$6:$H$962,7,0))</f>
        <v>-</v>
      </c>
      <c r="I47" s="16" t="str">
        <f>IF(OR(F47="",F47="F",G47="DQ",G47="DNF",G47="DNS",G47=""),"-",VLOOKUP(D47,'FERDİ SONUÇ'!$B$6:$H$962,7,0))</f>
        <v>-</v>
      </c>
      <c r="J47" s="18" t="str">
        <f>IF(ISERROR(SMALL(I46:I49,2)),"-",SMALL(I46:I49,2))</f>
        <v>-</v>
      </c>
      <c r="K47" s="133"/>
      <c r="L47" s="133"/>
      <c r="M47" s="133"/>
      <c r="N47" s="98"/>
      <c r="O47" s="19"/>
      <c r="BF47" s="2">
        <v>1061</v>
      </c>
    </row>
    <row r="48" spans="1:58" ht="15" customHeight="1">
      <c r="A48" s="101">
        <f>IF(AND(C48&lt;&gt;"",O48&lt;&gt;"DQ"),COUNT(O$6:O$1247)-(RANK(O48,O$6:O$1247)+COUNTIF(O$6:O48,O48))+2,IF(D46&lt;&gt;"",BF48,""))</f>
      </c>
      <c r="B48" s="101">
        <f>IF(AND(C48&lt;&gt;"",N48&lt;&gt;"DQ"),COUNT(N$6:N$1247)-(RANK(N48,N$6:N$1247)+COUNTIF(N$6:N48,N48))+2,IF(D46&lt;&gt;"",BF48,""))</f>
      </c>
      <c r="C48" s="14">
        <f>IF(ISERROR(VLOOKUP(D46,'START LİSTE'!$B$6:$F$836,3,0)),"",VLOOKUP(D46,'START LİSTE'!$B$6:$F$836,3,0))</f>
      </c>
      <c r="D48" s="109"/>
      <c r="E48" s="15">
        <f>IF(ISERROR(VLOOKUP($D48,'START LİSTE'!$B$6:$F$836,2,0)),"",VLOOKUP($D48,'START LİSTE'!$B$6:$F$836,2,0))</f>
      </c>
      <c r="F48" s="16">
        <f>IF(ISERROR(VLOOKUP($D48,'START LİSTE'!$B$6:$F$836,4,0)),"",VLOOKUP($D48,'START LİSTE'!$B$6:$F$836,4,0))</f>
      </c>
      <c r="G48" s="106">
        <f>IF(ISERROR(VLOOKUP($D48,'FERDİ SONUÇ'!$B$6:$H$962,6,0)),"",VLOOKUP($D48,'FERDİ SONUÇ'!$B$6:$H$962,6,0))</f>
      </c>
      <c r="H48" s="16" t="str">
        <f>IF(OR(F48="",G48="DQ",G48="DNF",G48="DNS",G48=""),"-",VLOOKUP(D48,'FERDİ SONUÇ'!$B$6:$H$962,7,0))</f>
        <v>-</v>
      </c>
      <c r="I48" s="16" t="str">
        <f>IF(OR(F48="",F48="F",G48="DQ",G48="DNF",G48="DNS",G48=""),"-",VLOOKUP(D48,'FERDİ SONUÇ'!$B$6:$H$962,7,0))</f>
        <v>-</v>
      </c>
      <c r="J48" s="18" t="str">
        <f>IF(ISERROR(SMALL(I46:I49,3)),"-",SMALL(I46:I49,3))</f>
        <v>-</v>
      </c>
      <c r="K48" s="133"/>
      <c r="L48" s="133" t="str">
        <f>N48</f>
        <v>DQ</v>
      </c>
      <c r="M48" s="133"/>
      <c r="N48" s="110" t="str">
        <f>_xlfn.IFERROR(IF(C48="","",IF(OR(J46="-",J47="-",J48="-"),"DQ",SUM(J46,J47,J48)))+(J48*0.0001),"DQ")</f>
        <v>DQ</v>
      </c>
      <c r="O48" s="110">
        <f>IF(C48="","",IF(OR(K48="DQ",L48="DQ",M48="DQ"),"DQ",SUM(K48,L48,M48)))</f>
      </c>
      <c r="BF48" s="2">
        <v>1062</v>
      </c>
    </row>
    <row r="49" spans="2:58" ht="15" customHeight="1">
      <c r="B49" s="13"/>
      <c r="C49" s="14"/>
      <c r="D49" s="109"/>
      <c r="E49" s="15">
        <f>IF(ISERROR(VLOOKUP($D49,'START LİSTE'!$B$6:$F$836,2,0)),"",VLOOKUP($D49,'START LİSTE'!$B$6:$F$836,2,0))</f>
      </c>
      <c r="F49" s="16">
        <f>IF(ISERROR(VLOOKUP($D49,'START LİSTE'!$B$6:$F$836,4,0)),"",VLOOKUP($D49,'START LİSTE'!$B$6:$F$836,4,0))</f>
      </c>
      <c r="G49" s="106">
        <f>IF(ISERROR(VLOOKUP($D49,'FERDİ SONUÇ'!$B$6:$H$962,6,0)),"",VLOOKUP($D49,'FERDİ SONUÇ'!$B$6:$H$962,6,0))</f>
      </c>
      <c r="H49" s="16" t="str">
        <f>IF(OR(F49="",G49="DQ",G49="DNF",G49="DNS",G49=""),"-",VLOOKUP(D49,'FERDİ SONUÇ'!$B$6:$H$962,7,0))</f>
        <v>-</v>
      </c>
      <c r="I49" s="16" t="str">
        <f>IF(OR(F49="",F49="F",G49="DQ",G49="DNF",G49="DNS",G49=""),"-",VLOOKUP(D49,'FERDİ SONUÇ'!$B$6:$H$962,7,0))</f>
        <v>-</v>
      </c>
      <c r="J49" s="18" t="str">
        <f>IF(ISERROR(SMALL(I46:I49,4)),"-",SMALL(I46:I49,4))</f>
        <v>-</v>
      </c>
      <c r="K49" s="133"/>
      <c r="L49" s="133"/>
      <c r="M49" s="133"/>
      <c r="N49" s="98"/>
      <c r="O49" s="19"/>
      <c r="BF49" s="2">
        <v>1063</v>
      </c>
    </row>
    <row r="50" spans="2:58" ht="15" customHeight="1">
      <c r="B50" s="6"/>
      <c r="C50" s="7"/>
      <c r="D50" s="108"/>
      <c r="E50" s="8">
        <f>IF(ISERROR(VLOOKUP($D50,'START LİSTE'!$B$6:$F$836,2,0)),"",VLOOKUP($D50,'START LİSTE'!$B$6:$F$836,2,0))</f>
      </c>
      <c r="F50" s="9">
        <f>IF(ISERROR(VLOOKUP($D50,'START LİSTE'!$B$6:$F$836,4,0)),"",VLOOKUP($D50,'START LİSTE'!$B$6:$F$836,4,0))</f>
      </c>
      <c r="G50" s="105">
        <f>IF(ISERROR(VLOOKUP($D50,'FERDİ SONUÇ'!$B$6:$H$962,6,0)),"",VLOOKUP($D50,'FERDİ SONUÇ'!$B$6:$H$962,6,0))</f>
      </c>
      <c r="H50" s="9" t="str">
        <f>IF(OR(F50="",G50="DQ",G50="DNF",G50="DNS",G50=""),"-",VLOOKUP(D50,'FERDİ SONUÇ'!$B$6:$H$962,7,0))</f>
        <v>-</v>
      </c>
      <c r="I50" s="9" t="str">
        <f>IF(OR(F50="",F50="F",G50="DQ",G50="DNF",G50="DNS",G50=""),"-",VLOOKUP(D50,'FERDİ SONUÇ'!$B$6:$H$962,7,0))</f>
        <v>-</v>
      </c>
      <c r="J50" s="11" t="str">
        <f>IF(ISERROR(SMALL(I50:I53,1)),"-",SMALL(I50:I53,1))</f>
        <v>-</v>
      </c>
      <c r="K50" s="132"/>
      <c r="L50" s="132"/>
      <c r="M50" s="132"/>
      <c r="N50" s="97"/>
      <c r="O50" s="12"/>
      <c r="BF50" s="2">
        <v>1066</v>
      </c>
    </row>
    <row r="51" spans="2:58" ht="15" customHeight="1">
      <c r="B51" s="13"/>
      <c r="C51" s="14"/>
      <c r="D51" s="109"/>
      <c r="E51" s="15">
        <f>IF(ISERROR(VLOOKUP($D51,'START LİSTE'!$B$6:$F$836,2,0)),"",VLOOKUP($D51,'START LİSTE'!$B$6:$F$836,2,0))</f>
      </c>
      <c r="F51" s="16">
        <f>IF(ISERROR(VLOOKUP($D51,'START LİSTE'!$B$6:$F$836,4,0)),"",VLOOKUP($D51,'START LİSTE'!$B$6:$F$836,4,0))</f>
      </c>
      <c r="G51" s="106">
        <f>IF(ISERROR(VLOOKUP($D51,'FERDİ SONUÇ'!$B$6:$H$962,6,0)),"",VLOOKUP($D51,'FERDİ SONUÇ'!$B$6:$H$962,6,0))</f>
      </c>
      <c r="H51" s="16" t="str">
        <f>IF(OR(F51="",G51="DQ",G51="DNF",G51="DNS",G51=""),"-",VLOOKUP(D51,'FERDİ SONUÇ'!$B$6:$H$962,7,0))</f>
        <v>-</v>
      </c>
      <c r="I51" s="16" t="str">
        <f>IF(OR(F51="",F51="F",G51="DQ",G51="DNF",G51="DNS",G51=""),"-",VLOOKUP(D51,'FERDİ SONUÇ'!$B$6:$H$962,7,0))</f>
        <v>-</v>
      </c>
      <c r="J51" s="18" t="str">
        <f>IF(ISERROR(SMALL(I50:I53,2)),"-",SMALL(I50:I53,2))</f>
        <v>-</v>
      </c>
      <c r="K51" s="133"/>
      <c r="L51" s="133"/>
      <c r="M51" s="133"/>
      <c r="N51" s="98"/>
      <c r="O51" s="19"/>
      <c r="BF51" s="2">
        <v>1067</v>
      </c>
    </row>
    <row r="52" spans="1:58" ht="15" customHeight="1">
      <c r="A52" s="101">
        <f>IF(AND(C52&lt;&gt;"",O52&lt;&gt;"DQ"),COUNT(O$6:O$1247)-(RANK(O52,O$6:O$1247)+COUNTIF(O$6:O52,O52))+2,IF(D50&lt;&gt;"",BF52,""))</f>
      </c>
      <c r="B52" s="101">
        <f>IF(AND(C52&lt;&gt;"",N52&lt;&gt;"DQ"),COUNT(N$6:N$1247)-(RANK(N52,N$6:N$1247)+COUNTIF(N$6:N52,N52))+2,IF(D50&lt;&gt;"",BF52,""))</f>
      </c>
      <c r="C52" s="14">
        <f>IF(ISERROR(VLOOKUP(D50,'START LİSTE'!$B$6:$F$836,3,0)),"",VLOOKUP(D50,'START LİSTE'!$B$6:$F$836,3,0))</f>
      </c>
      <c r="D52" s="109"/>
      <c r="E52" s="15">
        <f>IF(ISERROR(VLOOKUP($D52,'START LİSTE'!$B$6:$F$836,2,0)),"",VLOOKUP($D52,'START LİSTE'!$B$6:$F$836,2,0))</f>
      </c>
      <c r="F52" s="16">
        <f>IF(ISERROR(VLOOKUP($D52,'START LİSTE'!$B$6:$F$836,4,0)),"",VLOOKUP($D52,'START LİSTE'!$B$6:$F$836,4,0))</f>
      </c>
      <c r="G52" s="106">
        <f>IF(ISERROR(VLOOKUP($D52,'FERDİ SONUÇ'!$B$6:$H$962,6,0)),"",VLOOKUP($D52,'FERDİ SONUÇ'!$B$6:$H$962,6,0))</f>
      </c>
      <c r="H52" s="16" t="str">
        <f>IF(OR(F52="",G52="DQ",G52="DNF",G52="DNS",G52=""),"-",VLOOKUP(D52,'FERDİ SONUÇ'!$B$6:$H$962,7,0))</f>
        <v>-</v>
      </c>
      <c r="I52" s="16" t="str">
        <f>IF(OR(F52="",F52="F",G52="DQ",G52="DNF",G52="DNS",G52=""),"-",VLOOKUP(D52,'FERDİ SONUÇ'!$B$6:$H$962,7,0))</f>
        <v>-</v>
      </c>
      <c r="J52" s="18" t="str">
        <f>IF(ISERROR(SMALL(I50:I53,3)),"-",SMALL(I50:I53,3))</f>
        <v>-</v>
      </c>
      <c r="K52" s="133"/>
      <c r="L52" s="133" t="str">
        <f>N52</f>
        <v>DQ</v>
      </c>
      <c r="M52" s="133"/>
      <c r="N52" s="110" t="str">
        <f>_xlfn.IFERROR(IF(C52="","",IF(OR(J50="-",J51="-",J52="-"),"DQ",SUM(J50,J51,J52)))+(J52*0.0001),"DQ")</f>
        <v>DQ</v>
      </c>
      <c r="O52" s="110">
        <f>IF(C52="","",IF(OR(K52="DQ",L52="DQ",M52="DQ"),"DQ",SUM(K52,L52,M52)))</f>
      </c>
      <c r="BF52" s="2">
        <v>1068</v>
      </c>
    </row>
    <row r="53" spans="2:58" ht="15" customHeight="1">
      <c r="B53" s="13"/>
      <c r="C53" s="14"/>
      <c r="D53" s="109"/>
      <c r="E53" s="15">
        <f>IF(ISERROR(VLOOKUP($D53,'START LİSTE'!$B$6:$F$836,2,0)),"",VLOOKUP($D53,'START LİSTE'!$B$6:$F$836,2,0))</f>
      </c>
      <c r="F53" s="16">
        <f>IF(ISERROR(VLOOKUP($D53,'START LİSTE'!$B$6:$F$836,4,0)),"",VLOOKUP($D53,'START LİSTE'!$B$6:$F$836,4,0))</f>
      </c>
      <c r="G53" s="106">
        <f>IF(ISERROR(VLOOKUP($D53,'FERDİ SONUÇ'!$B$6:$H$962,6,0)),"",VLOOKUP($D53,'FERDİ SONUÇ'!$B$6:$H$962,6,0))</f>
      </c>
      <c r="H53" s="16" t="str">
        <f>IF(OR(F53="",G53="DQ",G53="DNF",G53="DNS",G53=""),"-",VLOOKUP(D53,'FERDİ SONUÇ'!$B$6:$H$962,7,0))</f>
        <v>-</v>
      </c>
      <c r="I53" s="16" t="str">
        <f>IF(OR(F53="",F53="F",G53="DQ",G53="DNF",G53="DNS",G53=""),"-",VLOOKUP(D53,'FERDİ SONUÇ'!$B$6:$H$962,7,0))</f>
        <v>-</v>
      </c>
      <c r="J53" s="18" t="str">
        <f>IF(ISERROR(SMALL(I50:I53,4)),"-",SMALL(I50:I53,4))</f>
        <v>-</v>
      </c>
      <c r="K53" s="133"/>
      <c r="L53" s="133"/>
      <c r="M53" s="133"/>
      <c r="N53" s="98"/>
      <c r="O53" s="19"/>
      <c r="BF53" s="2">
        <v>1069</v>
      </c>
    </row>
    <row r="54" spans="2:58" ht="15" customHeight="1">
      <c r="B54" s="6"/>
      <c r="C54" s="7"/>
      <c r="D54" s="108"/>
      <c r="E54" s="8">
        <f>IF(ISERROR(VLOOKUP($D54,'START LİSTE'!$B$6:$F$836,2,0)),"",VLOOKUP($D54,'START LİSTE'!$B$6:$F$836,2,0))</f>
      </c>
      <c r="F54" s="9">
        <f>IF(ISERROR(VLOOKUP($D54,'START LİSTE'!$B$6:$F$836,4,0)),"",VLOOKUP($D54,'START LİSTE'!$B$6:$F$836,4,0))</f>
      </c>
      <c r="G54" s="105">
        <f>IF(ISERROR(VLOOKUP($D54,'FERDİ SONUÇ'!$B$6:$H$962,6,0)),"",VLOOKUP($D54,'FERDİ SONUÇ'!$B$6:$H$962,6,0))</f>
      </c>
      <c r="H54" s="9" t="str">
        <f>IF(OR(F54="",G54="DQ",G54="DNF",G54="DNS",G54=""),"-",VLOOKUP(D54,'FERDİ SONUÇ'!$B$6:$H$962,7,0))</f>
        <v>-</v>
      </c>
      <c r="I54" s="9" t="str">
        <f>IF(OR(F54="",F54="F",G54="DQ",G54="DNF",G54="DNS",G54=""),"-",VLOOKUP(D54,'FERDİ SONUÇ'!$B$6:$H$962,7,0))</f>
        <v>-</v>
      </c>
      <c r="J54" s="11" t="str">
        <f>IF(ISERROR(SMALL(I54:I57,1)),"-",SMALL(I54:I57,1))</f>
        <v>-</v>
      </c>
      <c r="K54" s="132"/>
      <c r="L54" s="132"/>
      <c r="M54" s="132"/>
      <c r="N54" s="97"/>
      <c r="O54" s="12"/>
      <c r="BF54" s="2">
        <v>1072</v>
      </c>
    </row>
    <row r="55" spans="2:58" ht="15" customHeight="1">
      <c r="B55" s="13"/>
      <c r="C55" s="14"/>
      <c r="D55" s="109"/>
      <c r="E55" s="15">
        <f>IF(ISERROR(VLOOKUP($D55,'START LİSTE'!$B$6:$F$836,2,0)),"",VLOOKUP($D55,'START LİSTE'!$B$6:$F$836,2,0))</f>
      </c>
      <c r="F55" s="16">
        <f>IF(ISERROR(VLOOKUP($D55,'START LİSTE'!$B$6:$F$836,4,0)),"",VLOOKUP($D55,'START LİSTE'!$B$6:$F$836,4,0))</f>
      </c>
      <c r="G55" s="106">
        <f>IF(ISERROR(VLOOKUP($D55,'FERDİ SONUÇ'!$B$6:$H$962,6,0)),"",VLOOKUP($D55,'FERDİ SONUÇ'!$B$6:$H$962,6,0))</f>
      </c>
      <c r="H55" s="16" t="str">
        <f>IF(OR(F55="",G55="DQ",G55="DNF",G55="DNS",G55=""),"-",VLOOKUP(D55,'FERDİ SONUÇ'!$B$6:$H$962,7,0))</f>
        <v>-</v>
      </c>
      <c r="I55" s="16" t="str">
        <f>IF(OR(F55="",F55="F",G55="DQ",G55="DNF",G55="DNS",G55=""),"-",VLOOKUP(D55,'FERDİ SONUÇ'!$B$6:$H$962,7,0))</f>
        <v>-</v>
      </c>
      <c r="J55" s="18" t="str">
        <f>IF(ISERROR(SMALL(I54:I57,2)),"-",SMALL(I54:I57,2))</f>
        <v>-</v>
      </c>
      <c r="K55" s="133"/>
      <c r="L55" s="133"/>
      <c r="M55" s="133"/>
      <c r="N55" s="98"/>
      <c r="O55" s="19"/>
      <c r="BF55" s="2">
        <v>1073</v>
      </c>
    </row>
    <row r="56" spans="1:58" ht="15" customHeight="1">
      <c r="A56" s="101">
        <f>IF(AND(C56&lt;&gt;"",O56&lt;&gt;"DQ"),COUNT(O$6:O$1247)-(RANK(O56,O$6:O$1247)+COUNTIF(O$6:O56,O56))+2,IF(D54&lt;&gt;"",BF56,""))</f>
      </c>
      <c r="B56" s="101">
        <f>IF(AND(C56&lt;&gt;"",N56&lt;&gt;"DQ"),COUNT(N$6:N$1247)-(RANK(N56,N$6:N$1247)+COUNTIF(N$6:N56,N56))+2,IF(D54&lt;&gt;"",BF56,""))</f>
      </c>
      <c r="C56" s="14">
        <f>IF(ISERROR(VLOOKUP(D54,'START LİSTE'!$B$6:$F$836,3,0)),"",VLOOKUP(D54,'START LİSTE'!$B$6:$F$836,3,0))</f>
      </c>
      <c r="D56" s="109"/>
      <c r="E56" s="15">
        <f>IF(ISERROR(VLOOKUP($D56,'START LİSTE'!$B$6:$F$836,2,0)),"",VLOOKUP($D56,'START LİSTE'!$B$6:$F$836,2,0))</f>
      </c>
      <c r="F56" s="16">
        <f>IF(ISERROR(VLOOKUP($D56,'START LİSTE'!$B$6:$F$836,4,0)),"",VLOOKUP($D56,'START LİSTE'!$B$6:$F$836,4,0))</f>
      </c>
      <c r="G56" s="106">
        <f>IF(ISERROR(VLOOKUP($D56,'FERDİ SONUÇ'!$B$6:$H$962,6,0)),"",VLOOKUP($D56,'FERDİ SONUÇ'!$B$6:$H$962,6,0))</f>
      </c>
      <c r="H56" s="16" t="str">
        <f>IF(OR(F56="",G56="DQ",G56="DNF",G56="DNS",G56=""),"-",VLOOKUP(D56,'FERDİ SONUÇ'!$B$6:$H$962,7,0))</f>
        <v>-</v>
      </c>
      <c r="I56" s="16" t="str">
        <f>IF(OR(F56="",F56="F",G56="DQ",G56="DNF",G56="DNS",G56=""),"-",VLOOKUP(D56,'FERDİ SONUÇ'!$B$6:$H$962,7,0))</f>
        <v>-</v>
      </c>
      <c r="J56" s="18" t="str">
        <f>IF(ISERROR(SMALL(I54:I57,3)),"-",SMALL(I54:I57,3))</f>
        <v>-</v>
      </c>
      <c r="K56" s="133"/>
      <c r="L56" s="133" t="str">
        <f>N56</f>
        <v>DQ</v>
      </c>
      <c r="M56" s="133"/>
      <c r="N56" s="110" t="str">
        <f>_xlfn.IFERROR(IF(C56="","",IF(OR(J54="-",J55="-",J56="-"),"DQ",SUM(J54,J55,J56)))+(J56*0.0001),"DQ")</f>
        <v>DQ</v>
      </c>
      <c r="O56" s="110">
        <f>IF(C56="","",IF(OR(K56="DQ",L56="DQ",M56="DQ"),"DQ",SUM(K56,L56,M56)))</f>
      </c>
      <c r="BF56" s="2">
        <v>1074</v>
      </c>
    </row>
    <row r="57" spans="2:58" ht="15" customHeight="1">
      <c r="B57" s="13"/>
      <c r="C57" s="14"/>
      <c r="D57" s="109"/>
      <c r="E57" s="15">
        <f>IF(ISERROR(VLOOKUP($D57,'START LİSTE'!$B$6:$F$836,2,0)),"",VLOOKUP($D57,'START LİSTE'!$B$6:$F$836,2,0))</f>
      </c>
      <c r="F57" s="16">
        <f>IF(ISERROR(VLOOKUP($D57,'START LİSTE'!$B$6:$F$836,4,0)),"",VLOOKUP($D57,'START LİSTE'!$B$6:$F$836,4,0))</f>
      </c>
      <c r="G57" s="106">
        <f>IF(ISERROR(VLOOKUP($D57,'FERDİ SONUÇ'!$B$6:$H$962,6,0)),"",VLOOKUP($D57,'FERDİ SONUÇ'!$B$6:$H$962,6,0))</f>
      </c>
      <c r="H57" s="16" t="str">
        <f>IF(OR(F57="",G57="DQ",G57="DNF",G57="DNS",G57=""),"-",VLOOKUP(D57,'FERDİ SONUÇ'!$B$6:$H$962,7,0))</f>
        <v>-</v>
      </c>
      <c r="I57" s="16" t="str">
        <f>IF(OR(F57="",F57="F",G57="DQ",G57="DNF",G57="DNS",G57=""),"-",VLOOKUP(D57,'FERDİ SONUÇ'!$B$6:$H$962,7,0))</f>
        <v>-</v>
      </c>
      <c r="J57" s="18" t="str">
        <f>IF(ISERROR(SMALL(I54:I57,4)),"-",SMALL(I54:I57,4))</f>
        <v>-</v>
      </c>
      <c r="K57" s="133"/>
      <c r="L57" s="133"/>
      <c r="M57" s="133"/>
      <c r="N57" s="98"/>
      <c r="O57" s="19"/>
      <c r="BF57" s="2">
        <v>1075</v>
      </c>
    </row>
    <row r="58" spans="2:58" ht="15" customHeight="1">
      <c r="B58" s="6"/>
      <c r="C58" s="7"/>
      <c r="D58" s="108"/>
      <c r="E58" s="8">
        <f>IF(ISERROR(VLOOKUP($D58,'START LİSTE'!$B$6:$F$836,2,0)),"",VLOOKUP($D58,'START LİSTE'!$B$6:$F$836,2,0))</f>
      </c>
      <c r="F58" s="9">
        <f>IF(ISERROR(VLOOKUP($D58,'START LİSTE'!$B$6:$F$836,4,0)),"",VLOOKUP($D58,'START LİSTE'!$B$6:$F$836,4,0))</f>
      </c>
      <c r="G58" s="105">
        <f>IF(ISERROR(VLOOKUP($D58,'FERDİ SONUÇ'!$B$6:$H$962,6,0)),"",VLOOKUP($D58,'FERDİ SONUÇ'!$B$6:$H$962,6,0))</f>
      </c>
      <c r="H58" s="9" t="str">
        <f>IF(OR(F58="",G58="DQ",G58="DNF",G58="DNS",G58=""),"-",VLOOKUP(D58,'FERDİ SONUÇ'!$B$6:$H$962,7,0))</f>
        <v>-</v>
      </c>
      <c r="I58" s="9" t="str">
        <f>IF(OR(F58="",F58="F",G58="DQ",G58="DNF",G58="DNS",G58=""),"-",VLOOKUP(D58,'FERDİ SONUÇ'!$B$6:$H$962,7,0))</f>
        <v>-</v>
      </c>
      <c r="J58" s="11" t="str">
        <f>IF(ISERROR(SMALL(I58:I61,1)),"-",SMALL(I58:I61,1))</f>
        <v>-</v>
      </c>
      <c r="K58" s="132"/>
      <c r="L58" s="132"/>
      <c r="M58" s="132"/>
      <c r="N58" s="97"/>
      <c r="O58" s="12"/>
      <c r="BF58" s="2">
        <v>1078</v>
      </c>
    </row>
    <row r="59" spans="2:58" ht="15" customHeight="1">
      <c r="B59" s="13"/>
      <c r="C59" s="14"/>
      <c r="D59" s="109"/>
      <c r="E59" s="15">
        <f>IF(ISERROR(VLOOKUP($D59,'START LİSTE'!$B$6:$F$836,2,0)),"",VLOOKUP($D59,'START LİSTE'!$B$6:$F$836,2,0))</f>
      </c>
      <c r="F59" s="16">
        <f>IF(ISERROR(VLOOKUP($D59,'START LİSTE'!$B$6:$F$836,4,0)),"",VLOOKUP($D59,'START LİSTE'!$B$6:$F$836,4,0))</f>
      </c>
      <c r="G59" s="106">
        <f>IF(ISERROR(VLOOKUP($D59,'FERDİ SONUÇ'!$B$6:$H$962,6,0)),"",VLOOKUP($D59,'FERDİ SONUÇ'!$B$6:$H$962,6,0))</f>
      </c>
      <c r="H59" s="16" t="str">
        <f>IF(OR(F59="",G59="DQ",G59="DNF",G59="DNS",G59=""),"-",VLOOKUP(D59,'FERDİ SONUÇ'!$B$6:$H$962,7,0))</f>
        <v>-</v>
      </c>
      <c r="I59" s="16" t="str">
        <f>IF(OR(F59="",F59="F",G59="DQ",G59="DNF",G59="DNS",G59=""),"-",VLOOKUP(D59,'FERDİ SONUÇ'!$B$6:$H$962,7,0))</f>
        <v>-</v>
      </c>
      <c r="J59" s="18" t="str">
        <f>IF(ISERROR(SMALL(I58:I61,2)),"-",SMALL(I58:I61,2))</f>
        <v>-</v>
      </c>
      <c r="K59" s="133"/>
      <c r="L59" s="133"/>
      <c r="M59" s="133"/>
      <c r="N59" s="98"/>
      <c r="O59" s="19"/>
      <c r="BF59" s="2">
        <v>1079</v>
      </c>
    </row>
    <row r="60" spans="1:58" ht="15" customHeight="1">
      <c r="A60" s="101">
        <f>IF(AND(C60&lt;&gt;"",O60&lt;&gt;"DQ"),COUNT(O$6:O$1247)-(RANK(O60,O$6:O$1247)+COUNTIF(O$6:O60,O60))+2,IF(D58&lt;&gt;"",BF60,""))</f>
      </c>
      <c r="B60" s="101">
        <f>IF(AND(C60&lt;&gt;"",N60&lt;&gt;"DQ"),COUNT(N$6:N$1247)-(RANK(N60,N$6:N$1247)+COUNTIF(N$6:N60,N60))+2,IF(D58&lt;&gt;"",BF60,""))</f>
      </c>
      <c r="C60" s="14">
        <f>IF(ISERROR(VLOOKUP(D58,'START LİSTE'!$B$6:$F$836,3,0)),"",VLOOKUP(D58,'START LİSTE'!$B$6:$F$836,3,0))</f>
      </c>
      <c r="D60" s="109"/>
      <c r="E60" s="15">
        <f>IF(ISERROR(VLOOKUP($D60,'START LİSTE'!$B$6:$F$836,2,0)),"",VLOOKUP($D60,'START LİSTE'!$B$6:$F$836,2,0))</f>
      </c>
      <c r="F60" s="16">
        <f>IF(ISERROR(VLOOKUP($D60,'START LİSTE'!$B$6:$F$836,4,0)),"",VLOOKUP($D60,'START LİSTE'!$B$6:$F$836,4,0))</f>
      </c>
      <c r="G60" s="106">
        <f>IF(ISERROR(VLOOKUP($D60,'FERDİ SONUÇ'!$B$6:$H$962,6,0)),"",VLOOKUP($D60,'FERDİ SONUÇ'!$B$6:$H$962,6,0))</f>
      </c>
      <c r="H60" s="16" t="str">
        <f>IF(OR(F60="",G60="DQ",G60="DNF",G60="DNS",G60=""),"-",VLOOKUP(D60,'FERDİ SONUÇ'!$B$6:$H$962,7,0))</f>
        <v>-</v>
      </c>
      <c r="I60" s="16" t="str">
        <f>IF(OR(F60="",F60="F",G60="DQ",G60="DNF",G60="DNS",G60=""),"-",VLOOKUP(D60,'FERDİ SONUÇ'!$B$6:$H$962,7,0))</f>
        <v>-</v>
      </c>
      <c r="J60" s="18" t="str">
        <f>IF(ISERROR(SMALL(I58:I61,3)),"-",SMALL(I58:I61,3))</f>
        <v>-</v>
      </c>
      <c r="K60" s="133"/>
      <c r="L60" s="133" t="str">
        <f>N60</f>
        <v>DQ</v>
      </c>
      <c r="M60" s="133"/>
      <c r="N60" s="110" t="str">
        <f>_xlfn.IFERROR(IF(C60="","",IF(OR(J58="-",J59="-",J60="-"),"DQ",SUM(J58,J59,J60)))+(J60*0.0001),"DQ")</f>
        <v>DQ</v>
      </c>
      <c r="O60" s="110">
        <f>IF(C60="","",IF(OR(K60="DQ",L60="DQ",M60="DQ"),"DQ",SUM(K60,L60,M60)))</f>
      </c>
      <c r="BF60" s="2">
        <v>1080</v>
      </c>
    </row>
    <row r="61" spans="2:58" ht="15" customHeight="1">
      <c r="B61" s="13"/>
      <c r="C61" s="14"/>
      <c r="D61" s="109"/>
      <c r="E61" s="15">
        <f>IF(ISERROR(VLOOKUP($D61,'START LİSTE'!$B$6:$F$836,2,0)),"",VLOOKUP($D61,'START LİSTE'!$B$6:$F$836,2,0))</f>
      </c>
      <c r="F61" s="16">
        <f>IF(ISERROR(VLOOKUP($D61,'START LİSTE'!$B$6:$F$836,4,0)),"",VLOOKUP($D61,'START LİSTE'!$B$6:$F$836,4,0))</f>
      </c>
      <c r="G61" s="106">
        <f>IF(ISERROR(VLOOKUP($D61,'FERDİ SONUÇ'!$B$6:$H$962,6,0)),"",VLOOKUP($D61,'FERDİ SONUÇ'!$B$6:$H$962,6,0))</f>
      </c>
      <c r="H61" s="16" t="str">
        <f>IF(OR(F61="",G61="DQ",G61="DNF",G61="DNS",G61=""),"-",VLOOKUP(D61,'FERDİ SONUÇ'!$B$6:$H$962,7,0))</f>
        <v>-</v>
      </c>
      <c r="I61" s="16" t="str">
        <f>IF(OR(F61="",F61="F",G61="DQ",G61="DNF",G61="DNS",G61=""),"-",VLOOKUP(D61,'FERDİ SONUÇ'!$B$6:$H$962,7,0))</f>
        <v>-</v>
      </c>
      <c r="J61" s="18" t="str">
        <f>IF(ISERROR(SMALL(I58:I61,4)),"-",SMALL(I58:I61,4))</f>
        <v>-</v>
      </c>
      <c r="K61" s="133"/>
      <c r="L61" s="133"/>
      <c r="M61" s="133"/>
      <c r="N61" s="98"/>
      <c r="O61" s="19"/>
      <c r="BF61" s="2">
        <v>1081</v>
      </c>
    </row>
    <row r="62" spans="2:58" ht="15" customHeight="1">
      <c r="B62" s="6"/>
      <c r="C62" s="7"/>
      <c r="D62" s="108"/>
      <c r="E62" s="8">
        <f>IF(ISERROR(VLOOKUP($D62,'START LİSTE'!$B$6:$F$836,2,0)),"",VLOOKUP($D62,'START LİSTE'!$B$6:$F$836,2,0))</f>
      </c>
      <c r="F62" s="9">
        <f>IF(ISERROR(VLOOKUP($D62,'START LİSTE'!$B$6:$F$836,4,0)),"",VLOOKUP($D62,'START LİSTE'!$B$6:$F$836,4,0))</f>
      </c>
      <c r="G62" s="105">
        <f>IF(ISERROR(VLOOKUP($D62,'FERDİ SONUÇ'!$B$6:$H$962,6,0)),"",VLOOKUP($D62,'FERDİ SONUÇ'!$B$6:$H$962,6,0))</f>
      </c>
      <c r="H62" s="9" t="str">
        <f>IF(OR(F62="",G62="DQ",G62="DNF",G62="DNS",G62=""),"-",VLOOKUP(D62,'FERDİ SONUÇ'!$B$6:$H$962,7,0))</f>
        <v>-</v>
      </c>
      <c r="I62" s="9" t="str">
        <f>IF(OR(F62="",F62="F",G62="DQ",G62="DNF",G62="DNS",G62=""),"-",VLOOKUP(D62,'FERDİ SONUÇ'!$B$6:$H$962,7,0))</f>
        <v>-</v>
      </c>
      <c r="J62" s="11" t="str">
        <f>IF(ISERROR(SMALL(I62:I65,1)),"-",SMALL(I62:I65,1))</f>
        <v>-</v>
      </c>
      <c r="K62" s="132"/>
      <c r="L62" s="132"/>
      <c r="M62" s="132"/>
      <c r="N62" s="97"/>
      <c r="O62" s="12"/>
      <c r="BF62" s="2">
        <v>1084</v>
      </c>
    </row>
    <row r="63" spans="2:58" ht="15" customHeight="1">
      <c r="B63" s="13"/>
      <c r="C63" s="14"/>
      <c r="D63" s="109"/>
      <c r="E63" s="15">
        <f>IF(ISERROR(VLOOKUP($D63,'START LİSTE'!$B$6:$F$836,2,0)),"",VLOOKUP($D63,'START LİSTE'!$B$6:$F$836,2,0))</f>
      </c>
      <c r="F63" s="16">
        <f>IF(ISERROR(VLOOKUP($D63,'START LİSTE'!$B$6:$F$836,4,0)),"",VLOOKUP($D63,'START LİSTE'!$B$6:$F$836,4,0))</f>
      </c>
      <c r="G63" s="106">
        <f>IF(ISERROR(VLOOKUP($D63,'FERDİ SONUÇ'!$B$6:$H$962,6,0)),"",VLOOKUP($D63,'FERDİ SONUÇ'!$B$6:$H$962,6,0))</f>
      </c>
      <c r="H63" s="16" t="str">
        <f>IF(OR(F63="",G63="DQ",G63="DNF",G63="DNS",G63=""),"-",VLOOKUP(D63,'FERDİ SONUÇ'!$B$6:$H$962,7,0))</f>
        <v>-</v>
      </c>
      <c r="I63" s="16" t="str">
        <f>IF(OR(F63="",F63="F",G63="DQ",G63="DNF",G63="DNS",G63=""),"-",VLOOKUP(D63,'FERDİ SONUÇ'!$B$6:$H$962,7,0))</f>
        <v>-</v>
      </c>
      <c r="J63" s="18" t="str">
        <f>IF(ISERROR(SMALL(I62:I65,2)),"-",SMALL(I62:I65,2))</f>
        <v>-</v>
      </c>
      <c r="K63" s="133"/>
      <c r="L63" s="133"/>
      <c r="M63" s="133"/>
      <c r="N63" s="98"/>
      <c r="O63" s="19"/>
      <c r="BF63" s="2">
        <v>1085</v>
      </c>
    </row>
    <row r="64" spans="1:58" ht="15" customHeight="1">
      <c r="A64" s="101">
        <f>IF(AND(C64&lt;&gt;"",O64&lt;&gt;"DQ"),COUNT(O$6:O$1247)-(RANK(O64,O$6:O$1247)+COUNTIF(O$6:O64,O64))+2,IF(D62&lt;&gt;"",BF64,""))</f>
      </c>
      <c r="B64" s="101">
        <f>IF(AND(C64&lt;&gt;"",N64&lt;&gt;"DQ"),COUNT(N$6:N$1247)-(RANK(N64,N$6:N$1247)+COUNTIF(N$6:N64,N64))+2,IF(D62&lt;&gt;"",BF64,""))</f>
      </c>
      <c r="C64" s="14">
        <f>IF(ISERROR(VLOOKUP(D62,'START LİSTE'!$B$6:$F$836,3,0)),"",VLOOKUP(D62,'START LİSTE'!$B$6:$F$836,3,0))</f>
      </c>
      <c r="D64" s="109"/>
      <c r="E64" s="15">
        <f>IF(ISERROR(VLOOKUP($D64,'START LİSTE'!$B$6:$F$836,2,0)),"",VLOOKUP($D64,'START LİSTE'!$B$6:$F$836,2,0))</f>
      </c>
      <c r="F64" s="16">
        <f>IF(ISERROR(VLOOKUP($D64,'START LİSTE'!$B$6:$F$836,4,0)),"",VLOOKUP($D64,'START LİSTE'!$B$6:$F$836,4,0))</f>
      </c>
      <c r="G64" s="106">
        <f>IF(ISERROR(VLOOKUP($D64,'FERDİ SONUÇ'!$B$6:$H$962,6,0)),"",VLOOKUP($D64,'FERDİ SONUÇ'!$B$6:$H$962,6,0))</f>
      </c>
      <c r="H64" s="16" t="str">
        <f>IF(OR(F64="",G64="DQ",G64="DNF",G64="DNS",G64=""),"-",VLOOKUP(D64,'FERDİ SONUÇ'!$B$6:$H$962,7,0))</f>
        <v>-</v>
      </c>
      <c r="I64" s="16" t="str">
        <f>IF(OR(F64="",F64="F",G64="DQ",G64="DNF",G64="DNS",G64=""),"-",VLOOKUP(D64,'FERDİ SONUÇ'!$B$6:$H$962,7,0))</f>
        <v>-</v>
      </c>
      <c r="J64" s="18" t="str">
        <f>IF(ISERROR(SMALL(I62:I65,3)),"-",SMALL(I62:I65,3))</f>
        <v>-</v>
      </c>
      <c r="K64" s="133"/>
      <c r="L64" s="133" t="str">
        <f>N64</f>
        <v>DQ</v>
      </c>
      <c r="M64" s="133"/>
      <c r="N64" s="110" t="str">
        <f>_xlfn.IFERROR(IF(C64="","",IF(OR(J62="-",J63="-",J64="-"),"DQ",SUM(J62,J63,J64)))+(J64*0.0001),"DQ")</f>
        <v>DQ</v>
      </c>
      <c r="O64" s="110">
        <f>IF(C64="","",IF(OR(K64="DQ",L64="DQ",M64="DQ"),"DQ",SUM(K64,L64,M64)))</f>
      </c>
      <c r="BF64" s="2">
        <v>1086</v>
      </c>
    </row>
    <row r="65" spans="2:58" ht="15" customHeight="1">
      <c r="B65" s="13"/>
      <c r="C65" s="14"/>
      <c r="D65" s="109"/>
      <c r="E65" s="15">
        <f>IF(ISERROR(VLOOKUP($D65,'START LİSTE'!$B$6:$F$836,2,0)),"",VLOOKUP($D65,'START LİSTE'!$B$6:$F$836,2,0))</f>
      </c>
      <c r="F65" s="16">
        <f>IF(ISERROR(VLOOKUP($D65,'START LİSTE'!$B$6:$F$836,4,0)),"",VLOOKUP($D65,'START LİSTE'!$B$6:$F$836,4,0))</f>
      </c>
      <c r="G65" s="106">
        <f>IF(ISERROR(VLOOKUP($D65,'FERDİ SONUÇ'!$B$6:$H$962,6,0)),"",VLOOKUP($D65,'FERDİ SONUÇ'!$B$6:$H$962,6,0))</f>
      </c>
      <c r="H65" s="16" t="str">
        <f>IF(OR(F65="",G65="DQ",G65="DNF",G65="DNS",G65=""),"-",VLOOKUP(D65,'FERDİ SONUÇ'!$B$6:$H$962,7,0))</f>
        <v>-</v>
      </c>
      <c r="I65" s="16" t="str">
        <f>IF(OR(F65="",F65="F",G65="DQ",G65="DNF",G65="DNS",G65=""),"-",VLOOKUP(D65,'FERDİ SONUÇ'!$B$6:$H$962,7,0))</f>
        <v>-</v>
      </c>
      <c r="J65" s="18" t="str">
        <f>IF(ISERROR(SMALL(I62:I65,4)),"-",SMALL(I62:I65,4))</f>
        <v>-</v>
      </c>
      <c r="K65" s="133"/>
      <c r="L65" s="133"/>
      <c r="M65" s="133"/>
      <c r="N65" s="98"/>
      <c r="O65" s="19"/>
      <c r="BF65" s="2">
        <v>1087</v>
      </c>
    </row>
    <row r="66" spans="2:58" ht="15" customHeight="1">
      <c r="B66" s="6"/>
      <c r="C66" s="7"/>
      <c r="D66" s="108"/>
      <c r="E66" s="8">
        <f>IF(ISERROR(VLOOKUP($D66,'START LİSTE'!$B$6:$F$836,2,0)),"",VLOOKUP($D66,'START LİSTE'!$B$6:$F$836,2,0))</f>
      </c>
      <c r="F66" s="9">
        <f>IF(ISERROR(VLOOKUP($D66,'START LİSTE'!$B$6:$F$836,4,0)),"",VLOOKUP($D66,'START LİSTE'!$B$6:$F$836,4,0))</f>
      </c>
      <c r="G66" s="105">
        <f>IF(ISERROR(VLOOKUP($D66,'FERDİ SONUÇ'!$B$6:$H$962,6,0)),"",VLOOKUP($D66,'FERDİ SONUÇ'!$B$6:$H$962,6,0))</f>
      </c>
      <c r="H66" s="9" t="str">
        <f>IF(OR(F66="",G66="DQ",G66="DNF",G66="DNS",G66=""),"-",VLOOKUP(D66,'FERDİ SONUÇ'!$B$6:$H$962,7,0))</f>
        <v>-</v>
      </c>
      <c r="I66" s="9" t="str">
        <f>IF(OR(F66="",F66="F",G66="DQ",G66="DNF",G66="DNS",G66=""),"-",VLOOKUP(D66,'FERDİ SONUÇ'!$B$6:$H$962,7,0))</f>
        <v>-</v>
      </c>
      <c r="J66" s="11" t="str">
        <f>IF(ISERROR(SMALL(I66:I69,1)),"-",SMALL(I66:I69,1))</f>
        <v>-</v>
      </c>
      <c r="K66" s="132"/>
      <c r="L66" s="132"/>
      <c r="M66" s="132"/>
      <c r="N66" s="97"/>
      <c r="O66" s="12"/>
      <c r="BF66" s="2">
        <v>1090</v>
      </c>
    </row>
    <row r="67" spans="2:58" ht="15" customHeight="1">
      <c r="B67" s="13"/>
      <c r="C67" s="14"/>
      <c r="D67" s="109"/>
      <c r="E67" s="15">
        <f>IF(ISERROR(VLOOKUP($D67,'START LİSTE'!$B$6:$F$836,2,0)),"",VLOOKUP($D67,'START LİSTE'!$B$6:$F$836,2,0))</f>
      </c>
      <c r="F67" s="16">
        <f>IF(ISERROR(VLOOKUP($D67,'START LİSTE'!$B$6:$F$836,4,0)),"",VLOOKUP($D67,'START LİSTE'!$B$6:$F$836,4,0))</f>
      </c>
      <c r="G67" s="106">
        <f>IF(ISERROR(VLOOKUP($D67,'FERDİ SONUÇ'!$B$6:$H$962,6,0)),"",VLOOKUP($D67,'FERDİ SONUÇ'!$B$6:$H$962,6,0))</f>
      </c>
      <c r="H67" s="16" t="str">
        <f>IF(OR(F67="",G67="DQ",G67="DNF",G67="DNS",G67=""),"-",VLOOKUP(D67,'FERDİ SONUÇ'!$B$6:$H$962,7,0))</f>
        <v>-</v>
      </c>
      <c r="I67" s="16" t="str">
        <f>IF(OR(F67="",F67="F",G67="DQ",G67="DNF",G67="DNS",G67=""),"-",VLOOKUP(D67,'FERDİ SONUÇ'!$B$6:$H$962,7,0))</f>
        <v>-</v>
      </c>
      <c r="J67" s="18" t="str">
        <f>IF(ISERROR(SMALL(I66:I69,2)),"-",SMALL(I66:I69,2))</f>
        <v>-</v>
      </c>
      <c r="K67" s="133"/>
      <c r="L67" s="133"/>
      <c r="M67" s="133"/>
      <c r="N67" s="98"/>
      <c r="O67" s="19"/>
      <c r="BF67" s="2">
        <v>1091</v>
      </c>
    </row>
    <row r="68" spans="1:58" ht="15" customHeight="1">
      <c r="A68" s="101">
        <f>IF(AND(C68&lt;&gt;"",O68&lt;&gt;"DQ"),COUNT(O$6:O$1247)-(RANK(O68,O$6:O$1247)+COUNTIF(O$6:O68,O68))+2,IF(D66&lt;&gt;"",BF68,""))</f>
      </c>
      <c r="B68" s="101">
        <f>IF(AND(C68&lt;&gt;"",N68&lt;&gt;"DQ"),COUNT(N$6:N$1247)-(RANK(N68,N$6:N$1247)+COUNTIF(N$6:N68,N68))+2,IF(D66&lt;&gt;"",BF68,""))</f>
      </c>
      <c r="C68" s="14">
        <f>IF(ISERROR(VLOOKUP(D66,'START LİSTE'!$B$6:$F$836,3,0)),"",VLOOKUP(D66,'START LİSTE'!$B$6:$F$836,3,0))</f>
      </c>
      <c r="D68" s="109"/>
      <c r="E68" s="15">
        <f>IF(ISERROR(VLOOKUP($D68,'START LİSTE'!$B$6:$F$836,2,0)),"",VLOOKUP($D68,'START LİSTE'!$B$6:$F$836,2,0))</f>
      </c>
      <c r="F68" s="16">
        <f>IF(ISERROR(VLOOKUP($D68,'START LİSTE'!$B$6:$F$836,4,0)),"",VLOOKUP($D68,'START LİSTE'!$B$6:$F$836,4,0))</f>
      </c>
      <c r="G68" s="106">
        <f>IF(ISERROR(VLOOKUP($D68,'FERDİ SONUÇ'!$B$6:$H$962,6,0)),"",VLOOKUP($D68,'FERDİ SONUÇ'!$B$6:$H$962,6,0))</f>
      </c>
      <c r="H68" s="16" t="str">
        <f>IF(OR(F68="",G68="DQ",G68="DNF",G68="DNS",G68=""),"-",VLOOKUP(D68,'FERDİ SONUÇ'!$B$6:$H$962,7,0))</f>
        <v>-</v>
      </c>
      <c r="I68" s="16" t="str">
        <f>IF(OR(F68="",F68="F",G68="DQ",G68="DNF",G68="DNS",G68=""),"-",VLOOKUP(D68,'FERDİ SONUÇ'!$B$6:$H$962,7,0))</f>
        <v>-</v>
      </c>
      <c r="J68" s="18" t="str">
        <f>IF(ISERROR(SMALL(I66:I69,3)),"-",SMALL(I66:I69,3))</f>
        <v>-</v>
      </c>
      <c r="K68" s="133"/>
      <c r="L68" s="133" t="str">
        <f>N68</f>
        <v>DQ</v>
      </c>
      <c r="M68" s="133"/>
      <c r="N68" s="110" t="str">
        <f>_xlfn.IFERROR(IF(C68="","",IF(OR(J66="-",J67="-",J68="-"),"DQ",SUM(J66,J67,J68)))+(J68*0.0001),"DQ")</f>
        <v>DQ</v>
      </c>
      <c r="O68" s="110">
        <f>IF(C68="","",IF(OR(K68="DQ",L68="DQ",M68="DQ"),"DQ",SUM(K68,L68,M68)))</f>
      </c>
      <c r="BF68" s="2">
        <v>1092</v>
      </c>
    </row>
    <row r="69" spans="2:58" ht="15" customHeight="1">
      <c r="B69" s="13"/>
      <c r="C69" s="14"/>
      <c r="D69" s="109"/>
      <c r="E69" s="15">
        <f>IF(ISERROR(VLOOKUP($D69,'START LİSTE'!$B$6:$F$836,2,0)),"",VLOOKUP($D69,'START LİSTE'!$B$6:$F$836,2,0))</f>
      </c>
      <c r="F69" s="16">
        <f>IF(ISERROR(VLOOKUP($D69,'START LİSTE'!$B$6:$F$836,4,0)),"",VLOOKUP($D69,'START LİSTE'!$B$6:$F$836,4,0))</f>
      </c>
      <c r="G69" s="106">
        <f>IF(ISERROR(VLOOKUP($D69,'FERDİ SONUÇ'!$B$6:$H$962,6,0)),"",VLOOKUP($D69,'FERDİ SONUÇ'!$B$6:$H$962,6,0))</f>
      </c>
      <c r="H69" s="16" t="str">
        <f>IF(OR(F69="",G69="DQ",G69="DNF",G69="DNS",G69=""),"-",VLOOKUP(D69,'FERDİ SONUÇ'!$B$6:$H$962,7,0))</f>
        <v>-</v>
      </c>
      <c r="I69" s="16" t="str">
        <f>IF(OR(F69="",F69="F",G69="DQ",G69="DNF",G69="DNS",G69=""),"-",VLOOKUP(D69,'FERDİ SONUÇ'!$B$6:$H$962,7,0))</f>
        <v>-</v>
      </c>
      <c r="J69" s="18" t="str">
        <f>IF(ISERROR(SMALL(I66:I69,4)),"-",SMALL(I66:I69,4))</f>
        <v>-</v>
      </c>
      <c r="K69" s="133"/>
      <c r="L69" s="133"/>
      <c r="M69" s="133"/>
      <c r="N69" s="98"/>
      <c r="O69" s="19"/>
      <c r="BF69" s="2">
        <v>1093</v>
      </c>
    </row>
    <row r="70" spans="2:58" ht="15" customHeight="1">
      <c r="B70" s="6"/>
      <c r="C70" s="7"/>
      <c r="D70" s="108"/>
      <c r="E70" s="8">
        <f>IF(ISERROR(VLOOKUP($D70,'START LİSTE'!$B$6:$F$836,2,0)),"",VLOOKUP($D70,'START LİSTE'!$B$6:$F$836,2,0))</f>
      </c>
      <c r="F70" s="9">
        <f>IF(ISERROR(VLOOKUP($D70,'START LİSTE'!$B$6:$F$836,4,0)),"",VLOOKUP($D70,'START LİSTE'!$B$6:$F$836,4,0))</f>
      </c>
      <c r="G70" s="105">
        <f>IF(ISERROR(VLOOKUP($D70,'FERDİ SONUÇ'!$B$6:$H$962,6,0)),"",VLOOKUP($D70,'FERDİ SONUÇ'!$B$6:$H$962,6,0))</f>
      </c>
      <c r="H70" s="9" t="str">
        <f>IF(OR(F70="",G70="DQ",G70="DNF",G70="DNS",G70=""),"-",VLOOKUP(D70,'FERDİ SONUÇ'!$B$6:$H$962,7,0))</f>
        <v>-</v>
      </c>
      <c r="I70" s="9" t="str">
        <f>IF(OR(F70="",F70="F",G70="DQ",G70="DNF",G70="DNS",G70=""),"-",VLOOKUP(D70,'FERDİ SONUÇ'!$B$6:$H$962,7,0))</f>
        <v>-</v>
      </c>
      <c r="J70" s="11" t="str">
        <f>IF(ISERROR(SMALL(I70:I73,1)),"-",SMALL(I70:I73,1))</f>
        <v>-</v>
      </c>
      <c r="K70" s="132"/>
      <c r="L70" s="132"/>
      <c r="M70" s="132"/>
      <c r="N70" s="97"/>
      <c r="O70" s="12"/>
      <c r="BF70" s="2">
        <v>1096</v>
      </c>
    </row>
    <row r="71" spans="2:58" ht="15" customHeight="1">
      <c r="B71" s="13"/>
      <c r="C71" s="14"/>
      <c r="D71" s="109"/>
      <c r="E71" s="15">
        <f>IF(ISERROR(VLOOKUP($D71,'START LİSTE'!$B$6:$F$836,2,0)),"",VLOOKUP($D71,'START LİSTE'!$B$6:$F$836,2,0))</f>
      </c>
      <c r="F71" s="16">
        <f>IF(ISERROR(VLOOKUP($D71,'START LİSTE'!$B$6:$F$836,4,0)),"",VLOOKUP($D71,'START LİSTE'!$B$6:$F$836,4,0))</f>
      </c>
      <c r="G71" s="106">
        <f>IF(ISERROR(VLOOKUP($D71,'FERDİ SONUÇ'!$B$6:$H$962,6,0)),"",VLOOKUP($D71,'FERDİ SONUÇ'!$B$6:$H$962,6,0))</f>
      </c>
      <c r="H71" s="16" t="str">
        <f>IF(OR(F71="",G71="DQ",G71="DNF",G71="DNS",G71=""),"-",VLOOKUP(D71,'FERDİ SONUÇ'!$B$6:$H$962,7,0))</f>
        <v>-</v>
      </c>
      <c r="I71" s="16" t="str">
        <f>IF(OR(F71="",F71="F",G71="DQ",G71="DNF",G71="DNS",G71=""),"-",VLOOKUP(D71,'FERDİ SONUÇ'!$B$6:$H$962,7,0))</f>
        <v>-</v>
      </c>
      <c r="J71" s="18" t="str">
        <f>IF(ISERROR(SMALL(I70:I73,2)),"-",SMALL(I70:I73,2))</f>
        <v>-</v>
      </c>
      <c r="K71" s="133"/>
      <c r="L71" s="133"/>
      <c r="M71" s="133"/>
      <c r="N71" s="98"/>
      <c r="O71" s="19"/>
      <c r="BF71" s="2">
        <v>1097</v>
      </c>
    </row>
    <row r="72" spans="1:58" ht="15" customHeight="1">
      <c r="A72" s="101">
        <f>IF(AND(C72&lt;&gt;"",O72&lt;&gt;"DQ"),COUNT(O$6:O$1247)-(RANK(O72,O$6:O$1247)+COUNTIF(O$6:O72,O72))+2,IF(D70&lt;&gt;"",BF72,""))</f>
      </c>
      <c r="B72" s="101">
        <f>IF(AND(C72&lt;&gt;"",N72&lt;&gt;"DQ"),COUNT(N$6:N$1247)-(RANK(N72,N$6:N$1247)+COUNTIF(N$6:N72,N72))+2,IF(D70&lt;&gt;"",BF72,""))</f>
      </c>
      <c r="C72" s="14">
        <f>IF(ISERROR(VLOOKUP(D70,'START LİSTE'!$B$6:$F$836,3,0)),"",VLOOKUP(D70,'START LİSTE'!$B$6:$F$836,3,0))</f>
      </c>
      <c r="D72" s="109"/>
      <c r="E72" s="15">
        <f>IF(ISERROR(VLOOKUP($D72,'START LİSTE'!$B$6:$F$836,2,0)),"",VLOOKUP($D72,'START LİSTE'!$B$6:$F$836,2,0))</f>
      </c>
      <c r="F72" s="16">
        <f>IF(ISERROR(VLOOKUP($D72,'START LİSTE'!$B$6:$F$836,4,0)),"",VLOOKUP($D72,'START LİSTE'!$B$6:$F$836,4,0))</f>
      </c>
      <c r="G72" s="106">
        <f>IF(ISERROR(VLOOKUP($D72,'FERDİ SONUÇ'!$B$6:$H$962,6,0)),"",VLOOKUP($D72,'FERDİ SONUÇ'!$B$6:$H$962,6,0))</f>
      </c>
      <c r="H72" s="16" t="str">
        <f>IF(OR(F72="",G72="DQ",G72="DNF",G72="DNS",G72=""),"-",VLOOKUP(D72,'FERDİ SONUÇ'!$B$6:$H$962,7,0))</f>
        <v>-</v>
      </c>
      <c r="I72" s="16" t="str">
        <f>IF(OR(F72="",F72="F",G72="DQ",G72="DNF",G72="DNS",G72=""),"-",VLOOKUP(D72,'FERDİ SONUÇ'!$B$6:$H$962,7,0))</f>
        <v>-</v>
      </c>
      <c r="J72" s="18" t="str">
        <f>IF(ISERROR(SMALL(I70:I73,3)),"-",SMALL(I70:I73,3))</f>
        <v>-</v>
      </c>
      <c r="K72" s="133"/>
      <c r="L72" s="133" t="str">
        <f>N72</f>
        <v>DQ</v>
      </c>
      <c r="M72" s="133"/>
      <c r="N72" s="110" t="str">
        <f>_xlfn.IFERROR(IF(C72="","",IF(OR(J70="-",J71="-",J72="-"),"DQ",SUM(J70,J71,J72)))+(J72*0.0001),"DQ")</f>
        <v>DQ</v>
      </c>
      <c r="O72" s="110">
        <f>IF(C72="","",IF(OR(K72="DQ",L72="DQ",M72="DQ"),"DQ",SUM(K72,L72,M72)))</f>
      </c>
      <c r="BF72" s="2">
        <v>1098</v>
      </c>
    </row>
    <row r="73" spans="2:58" ht="15" customHeight="1">
      <c r="B73" s="13"/>
      <c r="C73" s="14"/>
      <c r="D73" s="109"/>
      <c r="E73" s="15">
        <f>IF(ISERROR(VLOOKUP($D73,'START LİSTE'!$B$6:$F$836,2,0)),"",VLOOKUP($D73,'START LİSTE'!$B$6:$F$836,2,0))</f>
      </c>
      <c r="F73" s="16">
        <f>IF(ISERROR(VLOOKUP($D73,'START LİSTE'!$B$6:$F$836,4,0)),"",VLOOKUP($D73,'START LİSTE'!$B$6:$F$836,4,0))</f>
      </c>
      <c r="G73" s="106">
        <f>IF(ISERROR(VLOOKUP($D73,'FERDİ SONUÇ'!$B$6:$H$962,6,0)),"",VLOOKUP($D73,'FERDİ SONUÇ'!$B$6:$H$962,6,0))</f>
      </c>
      <c r="H73" s="16" t="str">
        <f>IF(OR(F73="",G73="DQ",G73="DNF",G73="DNS",G73=""),"-",VLOOKUP(D73,'FERDİ SONUÇ'!$B$6:$H$962,7,0))</f>
        <v>-</v>
      </c>
      <c r="I73" s="16" t="str">
        <f>IF(OR(F73="",F73="F",G73="DQ",G73="DNF",G73="DNS",G73=""),"-",VLOOKUP(D73,'FERDİ SONUÇ'!$B$6:$H$962,7,0))</f>
        <v>-</v>
      </c>
      <c r="J73" s="18" t="str">
        <f>IF(ISERROR(SMALL(I70:I73,4)),"-",SMALL(I70:I73,4))</f>
        <v>-</v>
      </c>
      <c r="K73" s="133"/>
      <c r="L73" s="133"/>
      <c r="M73" s="133"/>
      <c r="N73" s="98"/>
      <c r="O73" s="19"/>
      <c r="BF73" s="2">
        <v>1099</v>
      </c>
    </row>
    <row r="74" spans="2:58" ht="15" customHeight="1">
      <c r="B74" s="6"/>
      <c r="C74" s="7"/>
      <c r="D74" s="108"/>
      <c r="E74" s="8">
        <f>IF(ISERROR(VLOOKUP($D74,'START LİSTE'!$B$6:$F$836,2,0)),"",VLOOKUP($D74,'START LİSTE'!$B$6:$F$836,2,0))</f>
      </c>
      <c r="F74" s="9">
        <f>IF(ISERROR(VLOOKUP($D74,'START LİSTE'!$B$6:$F$836,4,0)),"",VLOOKUP($D74,'START LİSTE'!$B$6:$F$836,4,0))</f>
      </c>
      <c r="G74" s="105">
        <f>IF(ISERROR(VLOOKUP($D74,'FERDİ SONUÇ'!$B$6:$H$962,6,0)),"",VLOOKUP($D74,'FERDİ SONUÇ'!$B$6:$H$962,6,0))</f>
      </c>
      <c r="H74" s="9" t="str">
        <f>IF(OR(F74="",G74="DQ",G74="DNF",G74="DNS",G74=""),"-",VLOOKUP(D74,'FERDİ SONUÇ'!$B$6:$H$962,7,0))</f>
        <v>-</v>
      </c>
      <c r="I74" s="9" t="str">
        <f>IF(OR(F74="",F74="F",G74="DQ",G74="DNF",G74="DNS",G74=""),"-",VLOOKUP(D74,'FERDİ SONUÇ'!$B$6:$H$962,7,0))</f>
        <v>-</v>
      </c>
      <c r="J74" s="11" t="str">
        <f>IF(ISERROR(SMALL(I74:I77,1)),"-",SMALL(I74:I77,1))</f>
        <v>-</v>
      </c>
      <c r="K74" s="132"/>
      <c r="L74" s="132"/>
      <c r="M74" s="132"/>
      <c r="N74" s="97"/>
      <c r="O74" s="12"/>
      <c r="BF74" s="2">
        <v>1102</v>
      </c>
    </row>
    <row r="75" spans="2:58" ht="15" customHeight="1">
      <c r="B75" s="13"/>
      <c r="C75" s="14"/>
      <c r="D75" s="109"/>
      <c r="E75" s="15">
        <f>IF(ISERROR(VLOOKUP($D75,'START LİSTE'!$B$6:$F$836,2,0)),"",VLOOKUP($D75,'START LİSTE'!$B$6:$F$836,2,0))</f>
      </c>
      <c r="F75" s="16">
        <f>IF(ISERROR(VLOOKUP($D75,'START LİSTE'!$B$6:$F$836,4,0)),"",VLOOKUP($D75,'START LİSTE'!$B$6:$F$836,4,0))</f>
      </c>
      <c r="G75" s="106">
        <f>IF(ISERROR(VLOOKUP($D75,'FERDİ SONUÇ'!$B$6:$H$962,6,0)),"",VLOOKUP($D75,'FERDİ SONUÇ'!$B$6:$H$962,6,0))</f>
      </c>
      <c r="H75" s="16" t="str">
        <f>IF(OR(F75="",G75="DQ",G75="DNF",G75="DNS",G75=""),"-",VLOOKUP(D75,'FERDİ SONUÇ'!$B$6:$H$962,7,0))</f>
        <v>-</v>
      </c>
      <c r="I75" s="16" t="str">
        <f>IF(OR(F75="",F75="F",G75="DQ",G75="DNF",G75="DNS",G75=""),"-",VLOOKUP(D75,'FERDİ SONUÇ'!$B$6:$H$962,7,0))</f>
        <v>-</v>
      </c>
      <c r="J75" s="18" t="str">
        <f>IF(ISERROR(SMALL(I74:I77,2)),"-",SMALL(I74:I77,2))</f>
        <v>-</v>
      </c>
      <c r="K75" s="133"/>
      <c r="L75" s="133"/>
      <c r="M75" s="133"/>
      <c r="N75" s="98"/>
      <c r="O75" s="19"/>
      <c r="BF75" s="2">
        <v>1103</v>
      </c>
    </row>
    <row r="76" spans="1:58" ht="15" customHeight="1">
      <c r="A76" s="101">
        <f>IF(AND(C76&lt;&gt;"",O76&lt;&gt;"DQ"),COUNT(O$6:O$1247)-(RANK(O76,O$6:O$1247)+COUNTIF(O$6:O76,O76))+2,IF(D74&lt;&gt;"",BF76,""))</f>
      </c>
      <c r="B76" s="101">
        <f>IF(AND(C76&lt;&gt;"",N76&lt;&gt;"DQ"),COUNT(N$6:N$1247)-(RANK(N76,N$6:N$1247)+COUNTIF(N$6:N76,N76))+2,IF(D74&lt;&gt;"",BF76,""))</f>
      </c>
      <c r="C76" s="14">
        <f>IF(ISERROR(VLOOKUP(D74,'START LİSTE'!$B$6:$F$836,3,0)),"",VLOOKUP(D74,'START LİSTE'!$B$6:$F$836,3,0))</f>
      </c>
      <c r="D76" s="109"/>
      <c r="E76" s="15">
        <f>IF(ISERROR(VLOOKUP($D76,'START LİSTE'!$B$6:$F$836,2,0)),"",VLOOKUP($D76,'START LİSTE'!$B$6:$F$836,2,0))</f>
      </c>
      <c r="F76" s="16">
        <f>IF(ISERROR(VLOOKUP($D76,'START LİSTE'!$B$6:$F$836,4,0)),"",VLOOKUP($D76,'START LİSTE'!$B$6:$F$836,4,0))</f>
      </c>
      <c r="G76" s="106">
        <f>IF(ISERROR(VLOOKUP($D76,'FERDİ SONUÇ'!$B$6:$H$962,6,0)),"",VLOOKUP($D76,'FERDİ SONUÇ'!$B$6:$H$962,6,0))</f>
      </c>
      <c r="H76" s="16" t="str">
        <f>IF(OR(F76="",G76="DQ",G76="DNF",G76="DNS",G76=""),"-",VLOOKUP(D76,'FERDİ SONUÇ'!$B$6:$H$962,7,0))</f>
        <v>-</v>
      </c>
      <c r="I76" s="16" t="str">
        <f>IF(OR(F76="",F76="F",G76="DQ",G76="DNF",G76="DNS",G76=""),"-",VLOOKUP(D76,'FERDİ SONUÇ'!$B$6:$H$962,7,0))</f>
        <v>-</v>
      </c>
      <c r="J76" s="18" t="str">
        <f>IF(ISERROR(SMALL(I74:I77,3)),"-",SMALL(I74:I77,3))</f>
        <v>-</v>
      </c>
      <c r="K76" s="133"/>
      <c r="L76" s="133" t="str">
        <f>N76</f>
        <v>DQ</v>
      </c>
      <c r="M76" s="133"/>
      <c r="N76" s="110" t="str">
        <f>_xlfn.IFERROR(IF(C76="","",IF(OR(J74="-",J75="-",J76="-"),"DQ",SUM(J74,J75,J76)))+(J76*0.0001),"DQ")</f>
        <v>DQ</v>
      </c>
      <c r="O76" s="110">
        <f>IF(C76="","",IF(OR(K76="DQ",L76="DQ",M76="DQ"),"DQ",SUM(K76,L76,M76)))</f>
      </c>
      <c r="BF76" s="2">
        <v>1104</v>
      </c>
    </row>
    <row r="77" spans="2:58" ht="15" customHeight="1">
      <c r="B77" s="13"/>
      <c r="C77" s="14"/>
      <c r="D77" s="109"/>
      <c r="E77" s="15">
        <f>IF(ISERROR(VLOOKUP($D77,'START LİSTE'!$B$6:$F$836,2,0)),"",VLOOKUP($D77,'START LİSTE'!$B$6:$F$836,2,0))</f>
      </c>
      <c r="F77" s="16">
        <f>IF(ISERROR(VLOOKUP($D77,'START LİSTE'!$B$6:$F$836,4,0)),"",VLOOKUP($D77,'START LİSTE'!$B$6:$F$836,4,0))</f>
      </c>
      <c r="G77" s="106">
        <f>IF(ISERROR(VLOOKUP($D77,'FERDİ SONUÇ'!$B$6:$H$962,6,0)),"",VLOOKUP($D77,'FERDİ SONUÇ'!$B$6:$H$962,6,0))</f>
      </c>
      <c r="H77" s="16" t="str">
        <f>IF(OR(F77="",G77="DQ",G77="DNF",G77="DNS",G77=""),"-",VLOOKUP(D77,'FERDİ SONUÇ'!$B$6:$H$962,7,0))</f>
        <v>-</v>
      </c>
      <c r="I77" s="16" t="str">
        <f>IF(OR(F77="",F77="F",G77="DQ",G77="DNF",G77="DNS",G77=""),"-",VLOOKUP(D77,'FERDİ SONUÇ'!$B$6:$H$962,7,0))</f>
        <v>-</v>
      </c>
      <c r="J77" s="18" t="str">
        <f>IF(ISERROR(SMALL(I74:I77,4)),"-",SMALL(I74:I77,4))</f>
        <v>-</v>
      </c>
      <c r="K77" s="133"/>
      <c r="L77" s="133"/>
      <c r="M77" s="133"/>
      <c r="N77" s="98"/>
      <c r="O77" s="19"/>
      <c r="BF77" s="2">
        <v>1105</v>
      </c>
    </row>
    <row r="78" spans="2:58" ht="15" customHeight="1">
      <c r="B78" s="6"/>
      <c r="C78" s="7"/>
      <c r="D78" s="108"/>
      <c r="E78" s="8">
        <f>IF(ISERROR(VLOOKUP($D78,'START LİSTE'!$B$6:$F$836,2,0)),"",VLOOKUP($D78,'START LİSTE'!$B$6:$F$836,2,0))</f>
      </c>
      <c r="F78" s="9">
        <f>IF(ISERROR(VLOOKUP($D78,'START LİSTE'!$B$6:$F$836,4,0)),"",VLOOKUP($D78,'START LİSTE'!$B$6:$F$836,4,0))</f>
      </c>
      <c r="G78" s="105">
        <f>IF(ISERROR(VLOOKUP($D78,'FERDİ SONUÇ'!$B$6:$H$962,6,0)),"",VLOOKUP($D78,'FERDİ SONUÇ'!$B$6:$H$962,6,0))</f>
      </c>
      <c r="H78" s="9" t="str">
        <f>IF(OR(F78="",G78="DQ",G78="DNF",G78="DNS",G78=""),"-",VLOOKUP(D78,'FERDİ SONUÇ'!$B$6:$H$962,7,0))</f>
        <v>-</v>
      </c>
      <c r="I78" s="9" t="str">
        <f>IF(OR(F78="",F78="F",G78="DQ",G78="DNF",G78="DNS",G78=""),"-",VLOOKUP(D78,'FERDİ SONUÇ'!$B$6:$H$962,7,0))</f>
        <v>-</v>
      </c>
      <c r="J78" s="11" t="str">
        <f>IF(ISERROR(SMALL(I78:I81,1)),"-",SMALL(I78:I81,1))</f>
        <v>-</v>
      </c>
      <c r="K78" s="132"/>
      <c r="L78" s="132"/>
      <c r="M78" s="132"/>
      <c r="N78" s="97"/>
      <c r="O78" s="12"/>
      <c r="BF78" s="2">
        <v>1108</v>
      </c>
    </row>
    <row r="79" spans="2:58" ht="15" customHeight="1">
      <c r="B79" s="13"/>
      <c r="C79" s="14"/>
      <c r="D79" s="109"/>
      <c r="E79" s="15">
        <f>IF(ISERROR(VLOOKUP($D79,'START LİSTE'!$B$6:$F$836,2,0)),"",VLOOKUP($D79,'START LİSTE'!$B$6:$F$836,2,0))</f>
      </c>
      <c r="F79" s="16">
        <f>IF(ISERROR(VLOOKUP($D79,'START LİSTE'!$B$6:$F$836,4,0)),"",VLOOKUP($D79,'START LİSTE'!$B$6:$F$836,4,0))</f>
      </c>
      <c r="G79" s="106">
        <f>IF(ISERROR(VLOOKUP($D79,'FERDİ SONUÇ'!$B$6:$H$962,6,0)),"",VLOOKUP($D79,'FERDİ SONUÇ'!$B$6:$H$962,6,0))</f>
      </c>
      <c r="H79" s="16" t="str">
        <f>IF(OR(F79="",G79="DQ",G79="DNF",G79="DNS",G79=""),"-",VLOOKUP(D79,'FERDİ SONUÇ'!$B$6:$H$962,7,0))</f>
        <v>-</v>
      </c>
      <c r="I79" s="16" t="str">
        <f>IF(OR(F79="",F79="F",G79="DQ",G79="DNF",G79="DNS",G79=""),"-",VLOOKUP(D79,'FERDİ SONUÇ'!$B$6:$H$962,7,0))</f>
        <v>-</v>
      </c>
      <c r="J79" s="18" t="str">
        <f>IF(ISERROR(SMALL(I78:I81,2)),"-",SMALL(I78:I81,2))</f>
        <v>-</v>
      </c>
      <c r="K79" s="133"/>
      <c r="L79" s="133"/>
      <c r="M79" s="133"/>
      <c r="N79" s="98"/>
      <c r="O79" s="19"/>
      <c r="BF79" s="2">
        <v>1109</v>
      </c>
    </row>
    <row r="80" spans="1:58" ht="15" customHeight="1">
      <c r="A80" s="101">
        <f>IF(AND(C80&lt;&gt;"",O80&lt;&gt;"DQ"),COUNT(O$6:O$1247)-(RANK(O80,O$6:O$1247)+COUNTIF(O$6:O80,O80))+2,IF(D78&lt;&gt;"",BF80,""))</f>
      </c>
      <c r="B80" s="101">
        <f>IF(AND(C80&lt;&gt;"",N80&lt;&gt;"DQ"),COUNT(N$6:N$1247)-(RANK(N80,N$6:N$1247)+COUNTIF(N$6:N80,N80))+2,IF(D78&lt;&gt;"",BF80,""))</f>
      </c>
      <c r="C80" s="14">
        <f>IF(ISERROR(VLOOKUP(D78,'START LİSTE'!$B$6:$F$836,3,0)),"",VLOOKUP(D78,'START LİSTE'!$B$6:$F$836,3,0))</f>
      </c>
      <c r="D80" s="109"/>
      <c r="E80" s="15">
        <f>IF(ISERROR(VLOOKUP($D80,'START LİSTE'!$B$6:$F$836,2,0)),"",VLOOKUP($D80,'START LİSTE'!$B$6:$F$836,2,0))</f>
      </c>
      <c r="F80" s="16">
        <f>IF(ISERROR(VLOOKUP($D80,'START LİSTE'!$B$6:$F$836,4,0)),"",VLOOKUP($D80,'START LİSTE'!$B$6:$F$836,4,0))</f>
      </c>
      <c r="G80" s="106">
        <f>IF(ISERROR(VLOOKUP($D80,'FERDİ SONUÇ'!$B$6:$H$962,6,0)),"",VLOOKUP($D80,'FERDİ SONUÇ'!$B$6:$H$962,6,0))</f>
      </c>
      <c r="H80" s="16" t="str">
        <f>IF(OR(F80="",G80="DQ",G80="DNF",G80="DNS",G80=""),"-",VLOOKUP(D80,'FERDİ SONUÇ'!$B$6:$H$962,7,0))</f>
        <v>-</v>
      </c>
      <c r="I80" s="16" t="str">
        <f>IF(OR(F80="",F80="F",G80="DQ",G80="DNF",G80="DNS",G80=""),"-",VLOOKUP(D80,'FERDİ SONUÇ'!$B$6:$H$962,7,0))</f>
        <v>-</v>
      </c>
      <c r="J80" s="18" t="str">
        <f>IF(ISERROR(SMALL(I78:I81,3)),"-",SMALL(I78:I81,3))</f>
        <v>-</v>
      </c>
      <c r="K80" s="133"/>
      <c r="L80" s="133" t="str">
        <f>N80</f>
        <v>DQ</v>
      </c>
      <c r="M80" s="133"/>
      <c r="N80" s="110" t="str">
        <f>_xlfn.IFERROR(IF(C80="","",IF(OR(J78="-",J79="-",J80="-"),"DQ",SUM(J78,J79,J80)))+(J80*0.0001),"DQ")</f>
        <v>DQ</v>
      </c>
      <c r="O80" s="110">
        <f>IF(C80="","",IF(OR(K80="DQ",L80="DQ",M80="DQ"),"DQ",SUM(K80,L80,M80)))</f>
      </c>
      <c r="BF80" s="2">
        <v>1110</v>
      </c>
    </row>
    <row r="81" spans="2:58" ht="15" customHeight="1">
      <c r="B81" s="13"/>
      <c r="C81" s="14"/>
      <c r="D81" s="109"/>
      <c r="E81" s="15">
        <f>IF(ISERROR(VLOOKUP($D81,'START LİSTE'!$B$6:$F$836,2,0)),"",VLOOKUP($D81,'START LİSTE'!$B$6:$F$836,2,0))</f>
      </c>
      <c r="F81" s="16">
        <f>IF(ISERROR(VLOOKUP($D81,'START LİSTE'!$B$6:$F$836,4,0)),"",VLOOKUP($D81,'START LİSTE'!$B$6:$F$836,4,0))</f>
      </c>
      <c r="G81" s="106">
        <f>IF(ISERROR(VLOOKUP($D81,'FERDİ SONUÇ'!$B$6:$H$962,6,0)),"",VLOOKUP($D81,'FERDİ SONUÇ'!$B$6:$H$962,6,0))</f>
      </c>
      <c r="H81" s="16" t="str">
        <f>IF(OR(F81="",G81="DQ",G81="DNF",G81="DNS",G81=""),"-",VLOOKUP(D81,'FERDİ SONUÇ'!$B$6:$H$962,7,0))</f>
        <v>-</v>
      </c>
      <c r="I81" s="16" t="str">
        <f>IF(OR(F81="",F81="F",G81="DQ",G81="DNF",G81="DNS",G81=""),"-",VLOOKUP(D81,'FERDİ SONUÇ'!$B$6:$H$962,7,0))</f>
        <v>-</v>
      </c>
      <c r="J81" s="18" t="str">
        <f>IF(ISERROR(SMALL(I78:I81,4)),"-",SMALL(I78:I81,4))</f>
        <v>-</v>
      </c>
      <c r="K81" s="133"/>
      <c r="L81" s="133"/>
      <c r="M81" s="133"/>
      <c r="N81" s="98"/>
      <c r="O81" s="19"/>
      <c r="BF81" s="2">
        <v>1111</v>
      </c>
    </row>
    <row r="82" spans="2:58" ht="15" customHeight="1">
      <c r="B82" s="6"/>
      <c r="C82" s="7"/>
      <c r="D82" s="108"/>
      <c r="E82" s="8">
        <f>IF(ISERROR(VLOOKUP($D82,'START LİSTE'!$B$6:$F$836,2,0)),"",VLOOKUP($D82,'START LİSTE'!$B$6:$F$836,2,0))</f>
      </c>
      <c r="F82" s="9">
        <f>IF(ISERROR(VLOOKUP($D82,'START LİSTE'!$B$6:$F$836,4,0)),"",VLOOKUP($D82,'START LİSTE'!$B$6:$F$836,4,0))</f>
      </c>
      <c r="G82" s="105">
        <f>IF(ISERROR(VLOOKUP($D82,'FERDİ SONUÇ'!$B$6:$H$962,6,0)),"",VLOOKUP($D82,'FERDİ SONUÇ'!$B$6:$H$962,6,0))</f>
      </c>
      <c r="H82" s="9" t="str">
        <f>IF(OR(F82="",G82="DQ",G82="DNF",G82="DNS",G82=""),"-",VLOOKUP(D82,'FERDİ SONUÇ'!$B$6:$H$962,7,0))</f>
        <v>-</v>
      </c>
      <c r="I82" s="9" t="str">
        <f>IF(OR(F82="",F82="F",G82="DQ",G82="DNF",G82="DNS",G82=""),"-",VLOOKUP(D82,'FERDİ SONUÇ'!$B$6:$H$962,7,0))</f>
        <v>-</v>
      </c>
      <c r="J82" s="11" t="str">
        <f>IF(ISERROR(SMALL(I82:I85,1)),"-",SMALL(I82:I85,1))</f>
        <v>-</v>
      </c>
      <c r="K82" s="132"/>
      <c r="L82" s="132"/>
      <c r="M82" s="132"/>
      <c r="N82" s="97"/>
      <c r="O82" s="12"/>
      <c r="BF82" s="2">
        <v>1114</v>
      </c>
    </row>
    <row r="83" spans="2:58" ht="15" customHeight="1">
      <c r="B83" s="13"/>
      <c r="C83" s="14"/>
      <c r="D83" s="109"/>
      <c r="E83" s="15">
        <f>IF(ISERROR(VLOOKUP($D83,'START LİSTE'!$B$6:$F$836,2,0)),"",VLOOKUP($D83,'START LİSTE'!$B$6:$F$836,2,0))</f>
      </c>
      <c r="F83" s="16">
        <f>IF(ISERROR(VLOOKUP($D83,'START LİSTE'!$B$6:$F$836,4,0)),"",VLOOKUP($D83,'START LİSTE'!$B$6:$F$836,4,0))</f>
      </c>
      <c r="G83" s="106">
        <f>IF(ISERROR(VLOOKUP($D83,'FERDİ SONUÇ'!$B$6:$H$962,6,0)),"",VLOOKUP($D83,'FERDİ SONUÇ'!$B$6:$H$962,6,0))</f>
      </c>
      <c r="H83" s="16" t="str">
        <f>IF(OR(F83="",G83="DQ",G83="DNF",G83="DNS",G83=""),"-",VLOOKUP(D83,'FERDİ SONUÇ'!$B$6:$H$962,7,0))</f>
        <v>-</v>
      </c>
      <c r="I83" s="16" t="str">
        <f>IF(OR(F83="",F83="F",G83="DQ",G83="DNF",G83="DNS",G83=""),"-",VLOOKUP(D83,'FERDİ SONUÇ'!$B$6:$H$962,7,0))</f>
        <v>-</v>
      </c>
      <c r="J83" s="18" t="str">
        <f>IF(ISERROR(SMALL(I82:I85,2)),"-",SMALL(I82:I85,2))</f>
        <v>-</v>
      </c>
      <c r="K83" s="133"/>
      <c r="L83" s="133"/>
      <c r="M83" s="133"/>
      <c r="N83" s="98"/>
      <c r="O83" s="19"/>
      <c r="BF83" s="2">
        <v>1115</v>
      </c>
    </row>
    <row r="84" spans="1:58" ht="15" customHeight="1">
      <c r="A84" s="101">
        <f>IF(AND(C84&lt;&gt;"",O84&lt;&gt;"DQ"),COUNT(O$6:O$1247)-(RANK(O84,O$6:O$1247)+COUNTIF(O$6:O84,O84))+2,IF(D82&lt;&gt;"",BF84,""))</f>
      </c>
      <c r="B84" s="101">
        <f>IF(AND(C84&lt;&gt;"",N84&lt;&gt;"DQ"),COUNT(N$6:N$1247)-(RANK(N84,N$6:N$1247)+COUNTIF(N$6:N84,N84))+2,IF(D82&lt;&gt;"",BF84,""))</f>
      </c>
      <c r="C84" s="14">
        <f>IF(ISERROR(VLOOKUP(D82,'START LİSTE'!$B$6:$F$836,3,0)),"",VLOOKUP(D82,'START LİSTE'!$B$6:$F$836,3,0))</f>
      </c>
      <c r="D84" s="109"/>
      <c r="E84" s="15">
        <f>IF(ISERROR(VLOOKUP($D84,'START LİSTE'!$B$6:$F$836,2,0)),"",VLOOKUP($D84,'START LİSTE'!$B$6:$F$836,2,0))</f>
      </c>
      <c r="F84" s="16">
        <f>IF(ISERROR(VLOOKUP($D84,'START LİSTE'!$B$6:$F$836,4,0)),"",VLOOKUP($D84,'START LİSTE'!$B$6:$F$836,4,0))</f>
      </c>
      <c r="G84" s="106">
        <f>IF(ISERROR(VLOOKUP($D84,'FERDİ SONUÇ'!$B$6:$H$962,6,0)),"",VLOOKUP($D84,'FERDİ SONUÇ'!$B$6:$H$962,6,0))</f>
      </c>
      <c r="H84" s="16" t="str">
        <f>IF(OR(F84="",G84="DQ",G84="DNF",G84="DNS",G84=""),"-",VLOOKUP(D84,'FERDİ SONUÇ'!$B$6:$H$962,7,0))</f>
        <v>-</v>
      </c>
      <c r="I84" s="16" t="str">
        <f>IF(OR(F84="",F84="F",G84="DQ",G84="DNF",G84="DNS",G84=""),"-",VLOOKUP(D84,'FERDİ SONUÇ'!$B$6:$H$962,7,0))</f>
        <v>-</v>
      </c>
      <c r="J84" s="18" t="str">
        <f>IF(ISERROR(SMALL(I82:I85,3)),"-",SMALL(I82:I85,3))</f>
        <v>-</v>
      </c>
      <c r="K84" s="133"/>
      <c r="L84" s="133" t="str">
        <f>N84</f>
        <v>DQ</v>
      </c>
      <c r="M84" s="133"/>
      <c r="N84" s="110" t="str">
        <f>_xlfn.IFERROR(IF(C84="","",IF(OR(J82="-",J83="-",J84="-"),"DQ",SUM(J82,J83,J84)))+(J84*0.0001),"DQ")</f>
        <v>DQ</v>
      </c>
      <c r="O84" s="110">
        <f>IF(C84="","",IF(OR(K84="DQ",L84="DQ",M84="DQ"),"DQ",SUM(K84,L84,M84)))</f>
      </c>
      <c r="BF84" s="2">
        <v>1116</v>
      </c>
    </row>
    <row r="85" spans="2:58" ht="15" customHeight="1">
      <c r="B85" s="13"/>
      <c r="C85" s="14"/>
      <c r="D85" s="109"/>
      <c r="E85" s="15">
        <f>IF(ISERROR(VLOOKUP($D85,'START LİSTE'!$B$6:$F$836,2,0)),"",VLOOKUP($D85,'START LİSTE'!$B$6:$F$836,2,0))</f>
      </c>
      <c r="F85" s="16">
        <f>IF(ISERROR(VLOOKUP($D85,'START LİSTE'!$B$6:$F$836,4,0)),"",VLOOKUP($D85,'START LİSTE'!$B$6:$F$836,4,0))</f>
      </c>
      <c r="G85" s="106">
        <f>IF(ISERROR(VLOOKUP($D85,'FERDİ SONUÇ'!$B$6:$H$962,6,0)),"",VLOOKUP($D85,'FERDİ SONUÇ'!$B$6:$H$962,6,0))</f>
      </c>
      <c r="H85" s="16" t="str">
        <f>IF(OR(F85="",G85="DQ",G85="DNF",G85="DNS",G85=""),"-",VLOOKUP(D85,'FERDİ SONUÇ'!$B$6:$H$962,7,0))</f>
        <v>-</v>
      </c>
      <c r="I85" s="16" t="str">
        <f>IF(OR(F85="",F85="F",G85="DQ",G85="DNF",G85="DNS",G85=""),"-",VLOOKUP(D85,'FERDİ SONUÇ'!$B$6:$H$962,7,0))</f>
        <v>-</v>
      </c>
      <c r="J85" s="18" t="str">
        <f>IF(ISERROR(SMALL(I82:I85,4)),"-",SMALL(I82:I85,4))</f>
        <v>-</v>
      </c>
      <c r="K85" s="133"/>
      <c r="L85" s="133"/>
      <c r="M85" s="133"/>
      <c r="N85" s="98"/>
      <c r="O85" s="19"/>
      <c r="BF85" s="2">
        <v>1117</v>
      </c>
    </row>
    <row r="86" spans="2:58" ht="15" customHeight="1">
      <c r="B86" s="6"/>
      <c r="C86" s="7"/>
      <c r="D86" s="108"/>
      <c r="E86" s="8">
        <f>IF(ISERROR(VLOOKUP($D86,'START LİSTE'!$B$6:$F$836,2,0)),"",VLOOKUP($D86,'START LİSTE'!$B$6:$F$836,2,0))</f>
      </c>
      <c r="F86" s="9">
        <f>IF(ISERROR(VLOOKUP($D86,'START LİSTE'!$B$6:$F$836,4,0)),"",VLOOKUP($D86,'START LİSTE'!$B$6:$F$836,4,0))</f>
      </c>
      <c r="G86" s="105">
        <f>IF(ISERROR(VLOOKUP($D86,'FERDİ SONUÇ'!$B$6:$H$962,6,0)),"",VLOOKUP($D86,'FERDİ SONUÇ'!$B$6:$H$962,6,0))</f>
      </c>
      <c r="H86" s="9" t="str">
        <f>IF(OR(F86="",G86="DQ",G86="DNF",G86="DNS",G86=""),"-",VLOOKUP(D86,'FERDİ SONUÇ'!$B$6:$H$962,7,0))</f>
        <v>-</v>
      </c>
      <c r="I86" s="9" t="str">
        <f>IF(OR(F86="",F86="F",G86="DQ",G86="DNF",G86="DNS",G86=""),"-",VLOOKUP(D86,'FERDİ SONUÇ'!$B$6:$H$962,7,0))</f>
        <v>-</v>
      </c>
      <c r="J86" s="11" t="str">
        <f>IF(ISERROR(SMALL(I86:I89,1)),"-",SMALL(I86:I89,1))</f>
        <v>-</v>
      </c>
      <c r="K86" s="132"/>
      <c r="L86" s="132"/>
      <c r="M86" s="132"/>
      <c r="N86" s="97"/>
      <c r="O86" s="12"/>
      <c r="BF86" s="2">
        <v>1120</v>
      </c>
    </row>
    <row r="87" spans="2:58" ht="15" customHeight="1">
      <c r="B87" s="13"/>
      <c r="C87" s="14"/>
      <c r="D87" s="109"/>
      <c r="E87" s="15">
        <f>IF(ISERROR(VLOOKUP($D87,'START LİSTE'!$B$6:$F$836,2,0)),"",VLOOKUP($D87,'START LİSTE'!$B$6:$F$836,2,0))</f>
      </c>
      <c r="F87" s="16">
        <f>IF(ISERROR(VLOOKUP($D87,'START LİSTE'!$B$6:$F$836,4,0)),"",VLOOKUP($D87,'START LİSTE'!$B$6:$F$836,4,0))</f>
      </c>
      <c r="G87" s="106">
        <f>IF(ISERROR(VLOOKUP($D87,'FERDİ SONUÇ'!$B$6:$H$962,6,0)),"",VLOOKUP($D87,'FERDİ SONUÇ'!$B$6:$H$962,6,0))</f>
      </c>
      <c r="H87" s="16" t="str">
        <f>IF(OR(F87="",G87="DQ",G87="DNF",G87="DNS",G87=""),"-",VLOOKUP(D87,'FERDİ SONUÇ'!$B$6:$H$962,7,0))</f>
        <v>-</v>
      </c>
      <c r="I87" s="16" t="str">
        <f>IF(OR(F87="",F87="F",G87="DQ",G87="DNF",G87="DNS",G87=""),"-",VLOOKUP(D87,'FERDİ SONUÇ'!$B$6:$H$962,7,0))</f>
        <v>-</v>
      </c>
      <c r="J87" s="18" t="str">
        <f>IF(ISERROR(SMALL(I86:I89,2)),"-",SMALL(I86:I89,2))</f>
        <v>-</v>
      </c>
      <c r="K87" s="133"/>
      <c r="L87" s="133"/>
      <c r="M87" s="133"/>
      <c r="N87" s="98"/>
      <c r="O87" s="19"/>
      <c r="BF87" s="2">
        <v>1121</v>
      </c>
    </row>
    <row r="88" spans="1:58" ht="15" customHeight="1">
      <c r="A88" s="101">
        <f>IF(AND(C88&lt;&gt;"",O88&lt;&gt;"DQ"),COUNT(O$6:O$1247)-(RANK(O88,O$6:O$1247)+COUNTIF(O$6:O88,O88))+2,IF(D86&lt;&gt;"",BF88,""))</f>
      </c>
      <c r="B88" s="101">
        <f>IF(AND(C88&lt;&gt;"",N88&lt;&gt;"DQ"),COUNT(N$6:N$1247)-(RANK(N88,N$6:N$1247)+COUNTIF(N$6:N88,N88))+2,IF(D86&lt;&gt;"",BF88,""))</f>
      </c>
      <c r="C88" s="14">
        <f>IF(ISERROR(VLOOKUP(D86,'START LİSTE'!$B$6:$F$836,3,0)),"",VLOOKUP(D86,'START LİSTE'!$B$6:$F$836,3,0))</f>
      </c>
      <c r="D88" s="109"/>
      <c r="E88" s="15">
        <f>IF(ISERROR(VLOOKUP($D88,'START LİSTE'!$B$6:$F$836,2,0)),"",VLOOKUP($D88,'START LİSTE'!$B$6:$F$836,2,0))</f>
      </c>
      <c r="F88" s="16">
        <f>IF(ISERROR(VLOOKUP($D88,'START LİSTE'!$B$6:$F$836,4,0)),"",VLOOKUP($D88,'START LİSTE'!$B$6:$F$836,4,0))</f>
      </c>
      <c r="G88" s="106">
        <f>IF(ISERROR(VLOOKUP($D88,'FERDİ SONUÇ'!$B$6:$H$962,6,0)),"",VLOOKUP($D88,'FERDİ SONUÇ'!$B$6:$H$962,6,0))</f>
      </c>
      <c r="H88" s="16" t="str">
        <f>IF(OR(F88="",G88="DQ",G88="DNF",G88="DNS",G88=""),"-",VLOOKUP(D88,'FERDİ SONUÇ'!$B$6:$H$962,7,0))</f>
        <v>-</v>
      </c>
      <c r="I88" s="16" t="str">
        <f>IF(OR(F88="",F88="F",G88="DQ",G88="DNF",G88="DNS",G88=""),"-",VLOOKUP(D88,'FERDİ SONUÇ'!$B$6:$H$962,7,0))</f>
        <v>-</v>
      </c>
      <c r="J88" s="18" t="str">
        <f>IF(ISERROR(SMALL(I86:I89,3)),"-",SMALL(I86:I89,3))</f>
        <v>-</v>
      </c>
      <c r="K88" s="133"/>
      <c r="L88" s="133" t="str">
        <f>N88</f>
        <v>DQ</v>
      </c>
      <c r="M88" s="133"/>
      <c r="N88" s="110" t="str">
        <f>_xlfn.IFERROR(IF(C88="","",IF(OR(J86="-",J87="-",J88="-"),"DQ",SUM(J86,J87,J88)))+(J88*0.0001),"DQ")</f>
        <v>DQ</v>
      </c>
      <c r="O88" s="110">
        <f>IF(C88="","",IF(OR(K88="DQ",L88="DQ",M88="DQ"),"DQ",SUM(K88,L88,M88)))</f>
      </c>
      <c r="BF88" s="2">
        <v>1122</v>
      </c>
    </row>
    <row r="89" spans="2:58" ht="15" customHeight="1">
      <c r="B89" s="13"/>
      <c r="C89" s="14"/>
      <c r="D89" s="109"/>
      <c r="E89" s="15">
        <f>IF(ISERROR(VLOOKUP($D89,'START LİSTE'!$B$6:$F$836,2,0)),"",VLOOKUP($D89,'START LİSTE'!$B$6:$F$836,2,0))</f>
      </c>
      <c r="F89" s="16">
        <f>IF(ISERROR(VLOOKUP($D89,'START LİSTE'!$B$6:$F$836,4,0)),"",VLOOKUP($D89,'START LİSTE'!$B$6:$F$836,4,0))</f>
      </c>
      <c r="G89" s="106">
        <f>IF(ISERROR(VLOOKUP($D89,'FERDİ SONUÇ'!$B$6:$H$962,6,0)),"",VLOOKUP($D89,'FERDİ SONUÇ'!$B$6:$H$962,6,0))</f>
      </c>
      <c r="H89" s="16" t="str">
        <f>IF(OR(F89="",G89="DQ",G89="DNF",G89="DNS",G89=""),"-",VLOOKUP(D89,'FERDİ SONUÇ'!$B$6:$H$962,7,0))</f>
        <v>-</v>
      </c>
      <c r="I89" s="16" t="str">
        <f>IF(OR(F89="",F89="F",G89="DQ",G89="DNF",G89="DNS",G89=""),"-",VLOOKUP(D89,'FERDİ SONUÇ'!$B$6:$H$962,7,0))</f>
        <v>-</v>
      </c>
      <c r="J89" s="18" t="str">
        <f>IF(ISERROR(SMALL(I86:I89,4)),"-",SMALL(I86:I89,4))</f>
        <v>-</v>
      </c>
      <c r="K89" s="133"/>
      <c r="L89" s="133"/>
      <c r="M89" s="133"/>
      <c r="N89" s="98"/>
      <c r="O89" s="19"/>
      <c r="BF89" s="2">
        <v>1123</v>
      </c>
    </row>
    <row r="90" spans="2:58" ht="15" customHeight="1">
      <c r="B90" s="6"/>
      <c r="C90" s="7"/>
      <c r="D90" s="108"/>
      <c r="E90" s="8">
        <f>IF(ISERROR(VLOOKUP($D90,'START LİSTE'!$B$6:$F$836,2,0)),"",VLOOKUP($D90,'START LİSTE'!$B$6:$F$836,2,0))</f>
      </c>
      <c r="F90" s="9">
        <f>IF(ISERROR(VLOOKUP($D90,'START LİSTE'!$B$6:$F$836,4,0)),"",VLOOKUP($D90,'START LİSTE'!$B$6:$F$836,4,0))</f>
      </c>
      <c r="G90" s="105">
        <f>IF(ISERROR(VLOOKUP($D90,'FERDİ SONUÇ'!$B$6:$H$962,6,0)),"",VLOOKUP($D90,'FERDİ SONUÇ'!$B$6:$H$962,6,0))</f>
      </c>
      <c r="H90" s="9" t="str">
        <f>IF(OR(F90="",G90="DQ",G90="DNF",G90="DNS",G90=""),"-",VLOOKUP(D90,'FERDİ SONUÇ'!$B$6:$H$962,7,0))</f>
        <v>-</v>
      </c>
      <c r="I90" s="9" t="str">
        <f>IF(OR(F90="",F90="F",G90="DQ",G90="DNF",G90="DNS",G90=""),"-",VLOOKUP(D90,'FERDİ SONUÇ'!$B$6:$H$962,7,0))</f>
        <v>-</v>
      </c>
      <c r="J90" s="11" t="str">
        <f>IF(ISERROR(SMALL(I90:I93,1)),"-",SMALL(I90:I93,1))</f>
        <v>-</v>
      </c>
      <c r="K90" s="132"/>
      <c r="L90" s="132"/>
      <c r="M90" s="132"/>
      <c r="N90" s="97"/>
      <c r="O90" s="12"/>
      <c r="BF90" s="2">
        <v>1126</v>
      </c>
    </row>
    <row r="91" spans="2:58" ht="15" customHeight="1">
      <c r="B91" s="13"/>
      <c r="C91" s="14"/>
      <c r="D91" s="109"/>
      <c r="E91" s="15">
        <f>IF(ISERROR(VLOOKUP($D91,'START LİSTE'!$B$6:$F$836,2,0)),"",VLOOKUP($D91,'START LİSTE'!$B$6:$F$836,2,0))</f>
      </c>
      <c r="F91" s="16">
        <f>IF(ISERROR(VLOOKUP($D91,'START LİSTE'!$B$6:$F$836,4,0)),"",VLOOKUP($D91,'START LİSTE'!$B$6:$F$836,4,0))</f>
      </c>
      <c r="G91" s="106">
        <f>IF(ISERROR(VLOOKUP($D91,'FERDİ SONUÇ'!$B$6:$H$962,6,0)),"",VLOOKUP($D91,'FERDİ SONUÇ'!$B$6:$H$962,6,0))</f>
      </c>
      <c r="H91" s="16" t="str">
        <f>IF(OR(F91="",G91="DQ",G91="DNF",G91="DNS",G91=""),"-",VLOOKUP(D91,'FERDİ SONUÇ'!$B$6:$H$962,7,0))</f>
        <v>-</v>
      </c>
      <c r="I91" s="16" t="str">
        <f>IF(OR(F91="",F91="F",G91="DQ",G91="DNF",G91="DNS",G91=""),"-",VLOOKUP(D91,'FERDİ SONUÇ'!$B$6:$H$962,7,0))</f>
        <v>-</v>
      </c>
      <c r="J91" s="18" t="str">
        <f>IF(ISERROR(SMALL(I90:I93,2)),"-",SMALL(I90:I93,2))</f>
        <v>-</v>
      </c>
      <c r="K91" s="133"/>
      <c r="L91" s="133"/>
      <c r="M91" s="133"/>
      <c r="N91" s="98"/>
      <c r="O91" s="19"/>
      <c r="BF91" s="2">
        <v>1127</v>
      </c>
    </row>
    <row r="92" spans="1:58" ht="15" customHeight="1">
      <c r="A92" s="101">
        <f>IF(AND(C92&lt;&gt;"",O92&lt;&gt;"DQ"),COUNT(O$6:O$1247)-(RANK(O92,O$6:O$1247)+COUNTIF(O$6:O92,O92))+2,IF(D90&lt;&gt;"",BF92,""))</f>
      </c>
      <c r="B92" s="101">
        <f>IF(AND(C92&lt;&gt;"",N92&lt;&gt;"DQ"),COUNT(N$6:N$1247)-(RANK(N92,N$6:N$1247)+COUNTIF(N$6:N92,N92))+2,IF(D90&lt;&gt;"",BF92,""))</f>
      </c>
      <c r="C92" s="14">
        <f>IF(ISERROR(VLOOKUP(D90,'START LİSTE'!$B$6:$F$836,3,0)),"",VLOOKUP(D90,'START LİSTE'!$B$6:$F$836,3,0))</f>
      </c>
      <c r="D92" s="109"/>
      <c r="E92" s="15">
        <f>IF(ISERROR(VLOOKUP($D92,'START LİSTE'!$B$6:$F$836,2,0)),"",VLOOKUP($D92,'START LİSTE'!$B$6:$F$836,2,0))</f>
      </c>
      <c r="F92" s="16">
        <f>IF(ISERROR(VLOOKUP($D92,'START LİSTE'!$B$6:$F$836,4,0)),"",VLOOKUP($D92,'START LİSTE'!$B$6:$F$836,4,0))</f>
      </c>
      <c r="G92" s="106">
        <f>IF(ISERROR(VLOOKUP($D92,'FERDİ SONUÇ'!$B$6:$H$962,6,0)),"",VLOOKUP($D92,'FERDİ SONUÇ'!$B$6:$H$962,6,0))</f>
      </c>
      <c r="H92" s="16" t="str">
        <f>IF(OR(F92="",G92="DQ",G92="DNF",G92="DNS",G92=""),"-",VLOOKUP(D92,'FERDİ SONUÇ'!$B$6:$H$962,7,0))</f>
        <v>-</v>
      </c>
      <c r="I92" s="16" t="str">
        <f>IF(OR(F92="",F92="F",G92="DQ",G92="DNF",G92="DNS",G92=""),"-",VLOOKUP(D92,'FERDİ SONUÇ'!$B$6:$H$962,7,0))</f>
        <v>-</v>
      </c>
      <c r="J92" s="18" t="str">
        <f>IF(ISERROR(SMALL(I90:I93,3)),"-",SMALL(I90:I93,3))</f>
        <v>-</v>
      </c>
      <c r="K92" s="133"/>
      <c r="L92" s="133" t="str">
        <f>N92</f>
        <v>DQ</v>
      </c>
      <c r="M92" s="133"/>
      <c r="N92" s="110" t="str">
        <f>_xlfn.IFERROR(IF(C92="","",IF(OR(J90="-",J91="-",J92="-"),"DQ",SUM(J90,J91,J92)))+(J92*0.0001),"DQ")</f>
        <v>DQ</v>
      </c>
      <c r="O92" s="110">
        <f>IF(C92="","",IF(OR(K92="DQ",L92="DQ",M92="DQ"),"DQ",SUM(K92,L92,M92)))</f>
      </c>
      <c r="BF92" s="2">
        <v>1128</v>
      </c>
    </row>
    <row r="93" spans="2:58" ht="15" customHeight="1">
      <c r="B93" s="13"/>
      <c r="C93" s="14"/>
      <c r="D93" s="109"/>
      <c r="E93" s="15">
        <f>IF(ISERROR(VLOOKUP($D93,'START LİSTE'!$B$6:$F$836,2,0)),"",VLOOKUP($D93,'START LİSTE'!$B$6:$F$836,2,0))</f>
      </c>
      <c r="F93" s="16">
        <f>IF(ISERROR(VLOOKUP($D93,'START LİSTE'!$B$6:$F$836,4,0)),"",VLOOKUP($D93,'START LİSTE'!$B$6:$F$836,4,0))</f>
      </c>
      <c r="G93" s="106">
        <f>IF(ISERROR(VLOOKUP($D93,'FERDİ SONUÇ'!$B$6:$H$962,6,0)),"",VLOOKUP($D93,'FERDİ SONUÇ'!$B$6:$H$962,6,0))</f>
      </c>
      <c r="H93" s="16" t="str">
        <f>IF(OR(F93="",G93="DQ",G93="DNF",G93="DNS",G93=""),"-",VLOOKUP(D93,'FERDİ SONUÇ'!$B$6:$H$962,7,0))</f>
        <v>-</v>
      </c>
      <c r="I93" s="16" t="str">
        <f>IF(OR(F93="",F93="F",G93="DQ",G93="DNF",G93="DNS",G93=""),"-",VLOOKUP(D93,'FERDİ SONUÇ'!$B$6:$H$962,7,0))</f>
        <v>-</v>
      </c>
      <c r="J93" s="18" t="str">
        <f>IF(ISERROR(SMALL(I90:I93,4)),"-",SMALL(I90:I93,4))</f>
        <v>-</v>
      </c>
      <c r="K93" s="133"/>
      <c r="L93" s="133"/>
      <c r="M93" s="133"/>
      <c r="N93" s="98"/>
      <c r="O93" s="19"/>
      <c r="BF93" s="2">
        <v>1129</v>
      </c>
    </row>
    <row r="94" spans="2:58" ht="15" customHeight="1">
      <c r="B94" s="6"/>
      <c r="C94" s="7"/>
      <c r="D94" s="108"/>
      <c r="E94" s="8">
        <f>IF(ISERROR(VLOOKUP($D94,'START LİSTE'!$B$6:$F$836,2,0)),"",VLOOKUP($D94,'START LİSTE'!$B$6:$F$836,2,0))</f>
      </c>
      <c r="F94" s="9">
        <f>IF(ISERROR(VLOOKUP($D94,'START LİSTE'!$B$6:$F$836,4,0)),"",VLOOKUP($D94,'START LİSTE'!$B$6:$F$836,4,0))</f>
      </c>
      <c r="G94" s="105">
        <f>IF(ISERROR(VLOOKUP($D94,'FERDİ SONUÇ'!$B$6:$H$962,6,0)),"",VLOOKUP($D94,'FERDİ SONUÇ'!$B$6:$H$962,6,0))</f>
      </c>
      <c r="H94" s="9" t="str">
        <f>IF(OR(F94="",G94="DQ",G94="DNF",G94="DNS",G94=""),"-",VLOOKUP(D94,'FERDİ SONUÇ'!$B$6:$H$962,7,0))</f>
        <v>-</v>
      </c>
      <c r="I94" s="9" t="str">
        <f>IF(OR(F94="",F94="F",G94="DQ",G94="DNF",G94="DNS",G94=""),"-",VLOOKUP(D94,'FERDİ SONUÇ'!$B$6:$H$962,7,0))</f>
        <v>-</v>
      </c>
      <c r="J94" s="11" t="str">
        <f>IF(ISERROR(SMALL(I94:I97,1)),"-",SMALL(I94:I97,1))</f>
        <v>-</v>
      </c>
      <c r="K94" s="132"/>
      <c r="L94" s="132"/>
      <c r="M94" s="132"/>
      <c r="N94" s="97"/>
      <c r="O94" s="12"/>
      <c r="BF94" s="2">
        <v>1132</v>
      </c>
    </row>
    <row r="95" spans="2:58" ht="15" customHeight="1">
      <c r="B95" s="13"/>
      <c r="C95" s="14"/>
      <c r="D95" s="109"/>
      <c r="E95" s="15">
        <f>IF(ISERROR(VLOOKUP($D95,'START LİSTE'!$B$6:$F$836,2,0)),"",VLOOKUP($D95,'START LİSTE'!$B$6:$F$836,2,0))</f>
      </c>
      <c r="F95" s="16">
        <f>IF(ISERROR(VLOOKUP($D95,'START LİSTE'!$B$6:$F$836,4,0)),"",VLOOKUP($D95,'START LİSTE'!$B$6:$F$836,4,0))</f>
      </c>
      <c r="G95" s="106">
        <f>IF(ISERROR(VLOOKUP($D95,'FERDİ SONUÇ'!$B$6:$H$962,6,0)),"",VLOOKUP($D95,'FERDİ SONUÇ'!$B$6:$H$962,6,0))</f>
      </c>
      <c r="H95" s="16" t="str">
        <f>IF(OR(F95="",G95="DQ",G95="DNF",G95="DNS",G95=""),"-",VLOOKUP(D95,'FERDİ SONUÇ'!$B$6:$H$962,7,0))</f>
        <v>-</v>
      </c>
      <c r="I95" s="16" t="str">
        <f>IF(OR(F95="",F95="F",G95="DQ",G95="DNF",G95="DNS",G95=""),"-",VLOOKUP(D95,'FERDİ SONUÇ'!$B$6:$H$962,7,0))</f>
        <v>-</v>
      </c>
      <c r="J95" s="18" t="str">
        <f>IF(ISERROR(SMALL(I94:I97,2)),"-",SMALL(I94:I97,2))</f>
        <v>-</v>
      </c>
      <c r="K95" s="133"/>
      <c r="L95" s="133"/>
      <c r="M95" s="133"/>
      <c r="N95" s="98"/>
      <c r="O95" s="19"/>
      <c r="BF95" s="2">
        <v>1133</v>
      </c>
    </row>
    <row r="96" spans="1:58" ht="15" customHeight="1">
      <c r="A96" s="101">
        <f>IF(AND(C96&lt;&gt;"",O96&lt;&gt;"DQ"),COUNT(O$6:O$1247)-(RANK(O96,O$6:O$1247)+COUNTIF(O$6:O96,O96))+2,IF(D94&lt;&gt;"",BF96,""))</f>
      </c>
      <c r="B96" s="101">
        <f>IF(AND(C96&lt;&gt;"",N96&lt;&gt;"DQ"),COUNT(N$6:N$1247)-(RANK(N96,N$6:N$1247)+COUNTIF(N$6:N96,N96))+2,IF(D94&lt;&gt;"",BF96,""))</f>
      </c>
      <c r="C96" s="14">
        <f>IF(ISERROR(VLOOKUP(D94,'START LİSTE'!$B$6:$F$836,3,0)),"",VLOOKUP(D94,'START LİSTE'!$B$6:$F$836,3,0))</f>
      </c>
      <c r="D96" s="109"/>
      <c r="E96" s="15">
        <f>IF(ISERROR(VLOOKUP($D96,'START LİSTE'!$B$6:$F$836,2,0)),"",VLOOKUP($D96,'START LİSTE'!$B$6:$F$836,2,0))</f>
      </c>
      <c r="F96" s="16">
        <f>IF(ISERROR(VLOOKUP($D96,'START LİSTE'!$B$6:$F$836,4,0)),"",VLOOKUP($D96,'START LİSTE'!$B$6:$F$836,4,0))</f>
      </c>
      <c r="G96" s="106">
        <f>IF(ISERROR(VLOOKUP($D96,'FERDİ SONUÇ'!$B$6:$H$962,6,0)),"",VLOOKUP($D96,'FERDİ SONUÇ'!$B$6:$H$962,6,0))</f>
      </c>
      <c r="H96" s="16" t="str">
        <f>IF(OR(F96="",G96="DQ",G96="DNF",G96="DNS",G96=""),"-",VLOOKUP(D96,'FERDİ SONUÇ'!$B$6:$H$962,7,0))</f>
        <v>-</v>
      </c>
      <c r="I96" s="16" t="str">
        <f>IF(OR(F96="",F96="F",G96="DQ",G96="DNF",G96="DNS",G96=""),"-",VLOOKUP(D96,'FERDİ SONUÇ'!$B$6:$H$962,7,0))</f>
        <v>-</v>
      </c>
      <c r="J96" s="18" t="str">
        <f>IF(ISERROR(SMALL(I94:I97,3)),"-",SMALL(I94:I97,3))</f>
        <v>-</v>
      </c>
      <c r="K96" s="133"/>
      <c r="L96" s="133" t="str">
        <f>N96</f>
        <v>DQ</v>
      </c>
      <c r="M96" s="133"/>
      <c r="N96" s="110" t="str">
        <f>_xlfn.IFERROR(IF(C96="","",IF(OR(J94="-",J95="-",J96="-"),"DQ",SUM(J94,J95,J96)))+(J96*0.0001),"DQ")</f>
        <v>DQ</v>
      </c>
      <c r="O96" s="110">
        <f>IF(C96="","",IF(OR(K96="DQ",L96="DQ",M96="DQ"),"DQ",SUM(K96,L96,M96)))</f>
      </c>
      <c r="BF96" s="2">
        <v>1134</v>
      </c>
    </row>
    <row r="97" spans="2:58" ht="15" customHeight="1">
      <c r="B97" s="13"/>
      <c r="C97" s="14"/>
      <c r="D97" s="109"/>
      <c r="E97" s="15">
        <f>IF(ISERROR(VLOOKUP($D97,'START LİSTE'!$B$6:$F$836,2,0)),"",VLOOKUP($D97,'START LİSTE'!$B$6:$F$836,2,0))</f>
      </c>
      <c r="F97" s="16">
        <f>IF(ISERROR(VLOOKUP($D97,'START LİSTE'!$B$6:$F$836,4,0)),"",VLOOKUP($D97,'START LİSTE'!$B$6:$F$836,4,0))</f>
      </c>
      <c r="G97" s="106">
        <f>IF(ISERROR(VLOOKUP($D97,'FERDİ SONUÇ'!$B$6:$H$962,6,0)),"",VLOOKUP($D97,'FERDİ SONUÇ'!$B$6:$H$962,6,0))</f>
      </c>
      <c r="H97" s="16" t="str">
        <f>IF(OR(F97="",G97="DQ",G97="DNF",G97="DNS",G97=""),"-",VLOOKUP(D97,'FERDİ SONUÇ'!$B$6:$H$962,7,0))</f>
        <v>-</v>
      </c>
      <c r="I97" s="16" t="str">
        <f>IF(OR(F97="",F97="F",G97="DQ",G97="DNF",G97="DNS",G97=""),"-",VLOOKUP(D97,'FERDİ SONUÇ'!$B$6:$H$962,7,0))</f>
        <v>-</v>
      </c>
      <c r="J97" s="18" t="str">
        <f>IF(ISERROR(SMALL(I94:I97,4)),"-",SMALL(I94:I97,4))</f>
        <v>-</v>
      </c>
      <c r="K97" s="133"/>
      <c r="L97" s="133"/>
      <c r="M97" s="133"/>
      <c r="N97" s="98"/>
      <c r="O97" s="19"/>
      <c r="BF97" s="2">
        <v>1135</v>
      </c>
    </row>
    <row r="98" spans="2:58" ht="15" customHeight="1">
      <c r="B98" s="6"/>
      <c r="C98" s="7"/>
      <c r="D98" s="108"/>
      <c r="E98" s="8">
        <f>IF(ISERROR(VLOOKUP($D98,'START LİSTE'!$B$6:$F$836,2,0)),"",VLOOKUP($D98,'START LİSTE'!$B$6:$F$836,2,0))</f>
      </c>
      <c r="F98" s="9">
        <f>IF(ISERROR(VLOOKUP($D98,'START LİSTE'!$B$6:$F$836,4,0)),"",VLOOKUP($D98,'START LİSTE'!$B$6:$F$836,4,0))</f>
      </c>
      <c r="G98" s="105">
        <f>IF(ISERROR(VLOOKUP($D98,'FERDİ SONUÇ'!$B$6:$H$962,6,0)),"",VLOOKUP($D98,'FERDİ SONUÇ'!$B$6:$H$962,6,0))</f>
      </c>
      <c r="H98" s="9" t="str">
        <f>IF(OR(F98="",G98="DQ",G98="DNF",G98="DNS",G98=""),"-",VLOOKUP(D98,'FERDİ SONUÇ'!$B$6:$H$962,7,0))</f>
        <v>-</v>
      </c>
      <c r="I98" s="9" t="str">
        <f>IF(OR(F98="",F98="F",G98="DQ",G98="DNF",G98="DNS",G98=""),"-",VLOOKUP(D98,'FERDİ SONUÇ'!$B$6:$H$962,7,0))</f>
        <v>-</v>
      </c>
      <c r="J98" s="11" t="str">
        <f>IF(ISERROR(SMALL(I98:I101,1)),"-",SMALL(I98:I101,1))</f>
        <v>-</v>
      </c>
      <c r="K98" s="132"/>
      <c r="L98" s="132"/>
      <c r="M98" s="132"/>
      <c r="N98" s="97"/>
      <c r="O98" s="12"/>
      <c r="BF98" s="2">
        <v>1138</v>
      </c>
    </row>
    <row r="99" spans="2:58" ht="15" customHeight="1">
      <c r="B99" s="13"/>
      <c r="C99" s="14"/>
      <c r="D99" s="109"/>
      <c r="E99" s="15">
        <f>IF(ISERROR(VLOOKUP($D99,'START LİSTE'!$B$6:$F$836,2,0)),"",VLOOKUP($D99,'START LİSTE'!$B$6:$F$836,2,0))</f>
      </c>
      <c r="F99" s="16">
        <f>IF(ISERROR(VLOOKUP($D99,'START LİSTE'!$B$6:$F$836,4,0)),"",VLOOKUP($D99,'START LİSTE'!$B$6:$F$836,4,0))</f>
      </c>
      <c r="G99" s="106">
        <f>IF(ISERROR(VLOOKUP($D99,'FERDİ SONUÇ'!$B$6:$H$962,6,0)),"",VLOOKUP($D99,'FERDİ SONUÇ'!$B$6:$H$962,6,0))</f>
      </c>
      <c r="H99" s="16" t="str">
        <f>IF(OR(F99="",G99="DQ",G99="DNF",G99="DNS",G99=""),"-",VLOOKUP(D99,'FERDİ SONUÇ'!$B$6:$H$962,7,0))</f>
        <v>-</v>
      </c>
      <c r="I99" s="16" t="str">
        <f>IF(OR(F99="",F99="F",G99="DQ",G99="DNF",G99="DNS",G99=""),"-",VLOOKUP(D99,'FERDİ SONUÇ'!$B$6:$H$962,7,0))</f>
        <v>-</v>
      </c>
      <c r="J99" s="18" t="str">
        <f>IF(ISERROR(SMALL(I98:I101,2)),"-",SMALL(I98:I101,2))</f>
        <v>-</v>
      </c>
      <c r="K99" s="133"/>
      <c r="L99" s="133"/>
      <c r="M99" s="133"/>
      <c r="N99" s="98"/>
      <c r="O99" s="19"/>
      <c r="BF99" s="2">
        <v>1139</v>
      </c>
    </row>
    <row r="100" spans="1:58" ht="15" customHeight="1">
      <c r="A100" s="101">
        <f>IF(AND(C100&lt;&gt;"",O100&lt;&gt;"DQ"),COUNT(O$6:O$1247)-(RANK(O100,O$6:O$1247)+COUNTIF(O$6:O100,O100))+2,IF(D98&lt;&gt;"",BF100,""))</f>
      </c>
      <c r="B100" s="101">
        <f>IF(AND(C100&lt;&gt;"",N100&lt;&gt;"DQ"),COUNT(N$6:N$1247)-(RANK(N100,N$6:N$1247)+COUNTIF(N$6:N100,N100))+2,IF(D98&lt;&gt;"",BF100,""))</f>
      </c>
      <c r="C100" s="14">
        <f>IF(ISERROR(VLOOKUP(D98,'START LİSTE'!$B$6:$F$836,3,0)),"",VLOOKUP(D98,'START LİSTE'!$B$6:$F$836,3,0))</f>
      </c>
      <c r="D100" s="109"/>
      <c r="E100" s="15">
        <f>IF(ISERROR(VLOOKUP($D100,'START LİSTE'!$B$6:$F$836,2,0)),"",VLOOKUP($D100,'START LİSTE'!$B$6:$F$836,2,0))</f>
      </c>
      <c r="F100" s="16">
        <f>IF(ISERROR(VLOOKUP($D100,'START LİSTE'!$B$6:$F$836,4,0)),"",VLOOKUP($D100,'START LİSTE'!$B$6:$F$836,4,0))</f>
      </c>
      <c r="G100" s="106">
        <f>IF(ISERROR(VLOOKUP($D100,'FERDİ SONUÇ'!$B$6:$H$962,6,0)),"",VLOOKUP($D100,'FERDİ SONUÇ'!$B$6:$H$962,6,0))</f>
      </c>
      <c r="H100" s="16" t="str">
        <f>IF(OR(F100="",G100="DQ",G100="DNF",G100="DNS",G100=""),"-",VLOOKUP(D100,'FERDİ SONUÇ'!$B$6:$H$962,7,0))</f>
        <v>-</v>
      </c>
      <c r="I100" s="16" t="str">
        <f>IF(OR(F100="",F100="F",G100="DQ",G100="DNF",G100="DNS",G100=""),"-",VLOOKUP(D100,'FERDİ SONUÇ'!$B$6:$H$962,7,0))</f>
        <v>-</v>
      </c>
      <c r="J100" s="18" t="str">
        <f>IF(ISERROR(SMALL(I98:I101,3)),"-",SMALL(I98:I101,3))</f>
        <v>-</v>
      </c>
      <c r="K100" s="133"/>
      <c r="L100" s="133" t="str">
        <f>N100</f>
        <v>DQ</v>
      </c>
      <c r="M100" s="133"/>
      <c r="N100" s="110" t="str">
        <f>_xlfn.IFERROR(IF(C100="","",IF(OR(J98="-",J99="-",J100="-"),"DQ",SUM(J98,J99,J100)))+(J100*0.0001),"DQ")</f>
        <v>DQ</v>
      </c>
      <c r="O100" s="110">
        <f>IF(C100="","",IF(OR(K100="DQ",L100="DQ",M100="DQ"),"DQ",SUM(K100,L100,M100)))</f>
      </c>
      <c r="BF100" s="2">
        <v>1140</v>
      </c>
    </row>
    <row r="101" spans="2:58" ht="15" customHeight="1">
      <c r="B101" s="13"/>
      <c r="C101" s="14"/>
      <c r="D101" s="109"/>
      <c r="E101" s="15">
        <f>IF(ISERROR(VLOOKUP($D101,'START LİSTE'!$B$6:$F$836,2,0)),"",VLOOKUP($D101,'START LİSTE'!$B$6:$F$836,2,0))</f>
      </c>
      <c r="F101" s="16">
        <f>IF(ISERROR(VLOOKUP($D101,'START LİSTE'!$B$6:$F$836,4,0)),"",VLOOKUP($D101,'START LİSTE'!$B$6:$F$836,4,0))</f>
      </c>
      <c r="G101" s="106">
        <f>IF(ISERROR(VLOOKUP($D101,'FERDİ SONUÇ'!$B$6:$H$962,6,0)),"",VLOOKUP($D101,'FERDİ SONUÇ'!$B$6:$H$962,6,0))</f>
      </c>
      <c r="H101" s="16" t="str">
        <f>IF(OR(F101="",G101="DQ",G101="DNF",G101="DNS",G101=""),"-",VLOOKUP(D101,'FERDİ SONUÇ'!$B$6:$H$962,7,0))</f>
        <v>-</v>
      </c>
      <c r="I101" s="16" t="str">
        <f>IF(OR(F101="",F101="F",G101="DQ",G101="DNF",G101="DNS",G101=""),"-",VLOOKUP(D101,'FERDİ SONUÇ'!$B$6:$H$962,7,0))</f>
        <v>-</v>
      </c>
      <c r="J101" s="18" t="str">
        <f>IF(ISERROR(SMALL(I98:I101,4)),"-",SMALL(I98:I101,4))</f>
        <v>-</v>
      </c>
      <c r="K101" s="133"/>
      <c r="L101" s="133"/>
      <c r="M101" s="133"/>
      <c r="N101" s="98"/>
      <c r="O101" s="19"/>
      <c r="BF101" s="2">
        <v>1141</v>
      </c>
    </row>
    <row r="102" spans="2:58" ht="15" customHeight="1">
      <c r="B102" s="6"/>
      <c r="C102" s="7"/>
      <c r="D102" s="108"/>
      <c r="E102" s="8">
        <f>IF(ISERROR(VLOOKUP($D102,'START LİSTE'!$B$6:$F$836,2,0)),"",VLOOKUP($D102,'START LİSTE'!$B$6:$F$836,2,0))</f>
      </c>
      <c r="F102" s="9">
        <f>IF(ISERROR(VLOOKUP($D102,'START LİSTE'!$B$6:$F$836,4,0)),"",VLOOKUP($D102,'START LİSTE'!$B$6:$F$836,4,0))</f>
      </c>
      <c r="G102" s="105">
        <f>IF(ISERROR(VLOOKUP($D102,'FERDİ SONUÇ'!$B$6:$H$962,6,0)),"",VLOOKUP($D102,'FERDİ SONUÇ'!$B$6:$H$962,6,0))</f>
      </c>
      <c r="H102" s="9" t="str">
        <f>IF(OR(F102="",G102="DQ",G102="DNF",G102="DNS",G102=""),"-",VLOOKUP(D102,'FERDİ SONUÇ'!$B$6:$H$962,7,0))</f>
        <v>-</v>
      </c>
      <c r="I102" s="9" t="str">
        <f>IF(OR(F102="",F102="F",G102="DQ",G102="DNF",G102="DNS",G102=""),"-",VLOOKUP(D102,'FERDİ SONUÇ'!$B$6:$H$962,7,0))</f>
        <v>-</v>
      </c>
      <c r="J102" s="11" t="str">
        <f>IF(ISERROR(SMALL(I102:I105,1)),"-",SMALL(I102:I105,1))</f>
        <v>-</v>
      </c>
      <c r="K102" s="132"/>
      <c r="L102" s="132"/>
      <c r="M102" s="132"/>
      <c r="N102" s="97"/>
      <c r="O102" s="12"/>
      <c r="BF102" s="2">
        <v>1144</v>
      </c>
    </row>
    <row r="103" spans="2:58" ht="15" customHeight="1">
      <c r="B103" s="13"/>
      <c r="C103" s="14"/>
      <c r="D103" s="109"/>
      <c r="E103" s="15">
        <f>IF(ISERROR(VLOOKUP($D103,'START LİSTE'!$B$6:$F$836,2,0)),"",VLOOKUP($D103,'START LİSTE'!$B$6:$F$836,2,0))</f>
      </c>
      <c r="F103" s="16">
        <f>IF(ISERROR(VLOOKUP($D103,'START LİSTE'!$B$6:$F$836,4,0)),"",VLOOKUP($D103,'START LİSTE'!$B$6:$F$836,4,0))</f>
      </c>
      <c r="G103" s="106">
        <f>IF(ISERROR(VLOOKUP($D103,'FERDİ SONUÇ'!$B$6:$H$962,6,0)),"",VLOOKUP($D103,'FERDİ SONUÇ'!$B$6:$H$962,6,0))</f>
      </c>
      <c r="H103" s="16" t="str">
        <f>IF(OR(F103="",G103="DQ",G103="DNF",G103="DNS",G103=""),"-",VLOOKUP(D103,'FERDİ SONUÇ'!$B$6:$H$962,7,0))</f>
        <v>-</v>
      </c>
      <c r="I103" s="16" t="str">
        <f>IF(OR(F103="",F103="F",G103="DQ",G103="DNF",G103="DNS",G103=""),"-",VLOOKUP(D103,'FERDİ SONUÇ'!$B$6:$H$962,7,0))</f>
        <v>-</v>
      </c>
      <c r="J103" s="18" t="str">
        <f>IF(ISERROR(SMALL(I102:I105,2)),"-",SMALL(I102:I105,2))</f>
        <v>-</v>
      </c>
      <c r="K103" s="133"/>
      <c r="L103" s="133"/>
      <c r="M103" s="133"/>
      <c r="N103" s="98"/>
      <c r="O103" s="19"/>
      <c r="BF103" s="2">
        <v>1145</v>
      </c>
    </row>
    <row r="104" spans="1:58" ht="15" customHeight="1">
      <c r="A104" s="101">
        <f>IF(AND(C104&lt;&gt;"",O104&lt;&gt;"DQ"),COUNT(O$6:O$1247)-(RANK(O104,O$6:O$1247)+COUNTIF(O$6:O104,O104))+2,IF(D102&lt;&gt;"",BF104,""))</f>
      </c>
      <c r="B104" s="101">
        <f>IF(AND(C104&lt;&gt;"",N104&lt;&gt;"DQ"),COUNT(N$6:N$1247)-(RANK(N104,N$6:N$1247)+COUNTIF(N$6:N104,N104))+2,IF(D102&lt;&gt;"",BF104,""))</f>
      </c>
      <c r="C104" s="14">
        <f>IF(ISERROR(VLOOKUP(D102,'START LİSTE'!$B$6:$F$836,3,0)),"",VLOOKUP(D102,'START LİSTE'!$B$6:$F$836,3,0))</f>
      </c>
      <c r="D104" s="109"/>
      <c r="E104" s="15">
        <f>IF(ISERROR(VLOOKUP($D104,'START LİSTE'!$B$6:$F$836,2,0)),"",VLOOKUP($D104,'START LİSTE'!$B$6:$F$836,2,0))</f>
      </c>
      <c r="F104" s="16">
        <f>IF(ISERROR(VLOOKUP($D104,'START LİSTE'!$B$6:$F$836,4,0)),"",VLOOKUP($D104,'START LİSTE'!$B$6:$F$836,4,0))</f>
      </c>
      <c r="G104" s="106">
        <f>IF(ISERROR(VLOOKUP($D104,'FERDİ SONUÇ'!$B$6:$H$962,6,0)),"",VLOOKUP($D104,'FERDİ SONUÇ'!$B$6:$H$962,6,0))</f>
      </c>
      <c r="H104" s="16" t="str">
        <f>IF(OR(F104="",G104="DQ",G104="DNF",G104="DNS",G104=""),"-",VLOOKUP(D104,'FERDİ SONUÇ'!$B$6:$H$962,7,0))</f>
        <v>-</v>
      </c>
      <c r="I104" s="16" t="str">
        <f>IF(OR(F104="",F104="F",G104="DQ",G104="DNF",G104="DNS",G104=""),"-",VLOOKUP(D104,'FERDİ SONUÇ'!$B$6:$H$962,7,0))</f>
        <v>-</v>
      </c>
      <c r="J104" s="18" t="str">
        <f>IF(ISERROR(SMALL(I102:I105,3)),"-",SMALL(I102:I105,3))</f>
        <v>-</v>
      </c>
      <c r="K104" s="133"/>
      <c r="L104" s="133" t="str">
        <f>N104</f>
        <v>DQ</v>
      </c>
      <c r="M104" s="133"/>
      <c r="N104" s="110" t="str">
        <f>_xlfn.IFERROR(IF(C104="","",IF(OR(J102="-",J103="-",J104="-"),"DQ",SUM(J102,J103,J104)))+(J104*0.0001),"DQ")</f>
        <v>DQ</v>
      </c>
      <c r="O104" s="110">
        <f>IF(C104="","",IF(OR(K104="DQ",L104="DQ",M104="DQ"),"DQ",SUM(K104,L104,M104)))</f>
      </c>
      <c r="BF104" s="2">
        <v>1146</v>
      </c>
    </row>
    <row r="105" spans="2:58" ht="15" customHeight="1">
      <c r="B105" s="13"/>
      <c r="C105" s="14"/>
      <c r="D105" s="109"/>
      <c r="E105" s="15">
        <f>IF(ISERROR(VLOOKUP($D105,'START LİSTE'!$B$6:$F$836,2,0)),"",VLOOKUP($D105,'START LİSTE'!$B$6:$F$836,2,0))</f>
      </c>
      <c r="F105" s="16">
        <f>IF(ISERROR(VLOOKUP($D105,'START LİSTE'!$B$6:$F$836,4,0)),"",VLOOKUP($D105,'START LİSTE'!$B$6:$F$836,4,0))</f>
      </c>
      <c r="G105" s="106">
        <f>IF(ISERROR(VLOOKUP($D105,'FERDİ SONUÇ'!$B$6:$H$962,6,0)),"",VLOOKUP($D105,'FERDİ SONUÇ'!$B$6:$H$962,6,0))</f>
      </c>
      <c r="H105" s="16" t="str">
        <f>IF(OR(F105="",G105="DQ",G105="DNF",G105="DNS",G105=""),"-",VLOOKUP(D105,'FERDİ SONUÇ'!$B$6:$H$962,7,0))</f>
        <v>-</v>
      </c>
      <c r="I105" s="16" t="str">
        <f>IF(OR(F105="",F105="F",G105="DQ",G105="DNF",G105="DNS",G105=""),"-",VLOOKUP(D105,'FERDİ SONUÇ'!$B$6:$H$962,7,0))</f>
        <v>-</v>
      </c>
      <c r="J105" s="18" t="str">
        <f>IF(ISERROR(SMALL(I102:I105,4)),"-",SMALL(I102:I105,4))</f>
        <v>-</v>
      </c>
      <c r="K105" s="133"/>
      <c r="L105" s="133"/>
      <c r="M105" s="133"/>
      <c r="N105" s="98"/>
      <c r="O105" s="19"/>
      <c r="BF105" s="2">
        <v>1147</v>
      </c>
    </row>
    <row r="106" spans="2:58" ht="15" customHeight="1">
      <c r="B106" s="6"/>
      <c r="C106" s="7"/>
      <c r="D106" s="108"/>
      <c r="E106" s="8">
        <f>IF(ISERROR(VLOOKUP($D106,'START LİSTE'!$B$6:$F$836,2,0)),"",VLOOKUP($D106,'START LİSTE'!$B$6:$F$836,2,0))</f>
      </c>
      <c r="F106" s="9">
        <f>IF(ISERROR(VLOOKUP($D106,'START LİSTE'!$B$6:$F$836,4,0)),"",VLOOKUP($D106,'START LİSTE'!$B$6:$F$836,4,0))</f>
      </c>
      <c r="G106" s="105">
        <f>IF(ISERROR(VLOOKUP($D106,'FERDİ SONUÇ'!$B$6:$H$962,6,0)),"",VLOOKUP($D106,'FERDİ SONUÇ'!$B$6:$H$962,6,0))</f>
      </c>
      <c r="H106" s="9" t="str">
        <f>IF(OR(F106="",G106="DQ",G106="DNF",G106="DNS",G106=""),"-",VLOOKUP(D106,'FERDİ SONUÇ'!$B$6:$H$962,7,0))</f>
        <v>-</v>
      </c>
      <c r="I106" s="9" t="str">
        <f>IF(OR(F106="",F106="F",G106="DQ",G106="DNF",G106="DNS",G106=""),"-",VLOOKUP(D106,'FERDİ SONUÇ'!$B$6:$H$962,7,0))</f>
        <v>-</v>
      </c>
      <c r="J106" s="11" t="str">
        <f>IF(ISERROR(SMALL(I106:I109,1)),"-",SMALL(I106:I109,1))</f>
        <v>-</v>
      </c>
      <c r="K106" s="132"/>
      <c r="L106" s="132"/>
      <c r="M106" s="132"/>
      <c r="N106" s="97"/>
      <c r="O106" s="12"/>
      <c r="BF106" s="2">
        <v>1150</v>
      </c>
    </row>
    <row r="107" spans="2:58" ht="15" customHeight="1">
      <c r="B107" s="13"/>
      <c r="C107" s="14"/>
      <c r="D107" s="109"/>
      <c r="E107" s="15">
        <f>IF(ISERROR(VLOOKUP($D107,'START LİSTE'!$B$6:$F$836,2,0)),"",VLOOKUP($D107,'START LİSTE'!$B$6:$F$836,2,0))</f>
      </c>
      <c r="F107" s="16">
        <f>IF(ISERROR(VLOOKUP($D107,'START LİSTE'!$B$6:$F$836,4,0)),"",VLOOKUP($D107,'START LİSTE'!$B$6:$F$836,4,0))</f>
      </c>
      <c r="G107" s="106">
        <f>IF(ISERROR(VLOOKUP($D107,'FERDİ SONUÇ'!$B$6:$H$962,6,0)),"",VLOOKUP($D107,'FERDİ SONUÇ'!$B$6:$H$962,6,0))</f>
      </c>
      <c r="H107" s="16" t="str">
        <f>IF(OR(F107="",G107="DQ",G107="DNF",G107="DNS",G107=""),"-",VLOOKUP(D107,'FERDİ SONUÇ'!$B$6:$H$962,7,0))</f>
        <v>-</v>
      </c>
      <c r="I107" s="16" t="str">
        <f>IF(OR(F107="",F107="F",G107="DQ",G107="DNF",G107="DNS",G107=""),"-",VLOOKUP(D107,'FERDİ SONUÇ'!$B$6:$H$962,7,0))</f>
        <v>-</v>
      </c>
      <c r="J107" s="18" t="str">
        <f>IF(ISERROR(SMALL(I106:I109,2)),"-",SMALL(I106:I109,2))</f>
        <v>-</v>
      </c>
      <c r="K107" s="133"/>
      <c r="L107" s="133"/>
      <c r="M107" s="133"/>
      <c r="N107" s="98"/>
      <c r="O107" s="19"/>
      <c r="BF107" s="2">
        <v>1151</v>
      </c>
    </row>
    <row r="108" spans="1:58" ht="15" customHeight="1">
      <c r="A108" s="101">
        <f>IF(AND(C108&lt;&gt;"",O108&lt;&gt;"DQ"),COUNT(O$6:O$1247)-(RANK(O108,O$6:O$1247)+COUNTIF(O$6:O108,O108))+2,IF(D106&lt;&gt;"",BF108,""))</f>
      </c>
      <c r="B108" s="101">
        <f>IF(AND(C108&lt;&gt;"",N108&lt;&gt;"DQ"),COUNT(N$6:N$1247)-(RANK(N108,N$6:N$1247)+COUNTIF(N$6:N108,N108))+2,IF(D106&lt;&gt;"",BF108,""))</f>
      </c>
      <c r="C108" s="14">
        <f>IF(ISERROR(VLOOKUP(D106,'START LİSTE'!$B$6:$F$836,3,0)),"",VLOOKUP(D106,'START LİSTE'!$B$6:$F$836,3,0))</f>
      </c>
      <c r="D108" s="109"/>
      <c r="E108" s="15">
        <f>IF(ISERROR(VLOOKUP($D108,'START LİSTE'!$B$6:$F$836,2,0)),"",VLOOKUP($D108,'START LİSTE'!$B$6:$F$836,2,0))</f>
      </c>
      <c r="F108" s="16">
        <f>IF(ISERROR(VLOOKUP($D108,'START LİSTE'!$B$6:$F$836,4,0)),"",VLOOKUP($D108,'START LİSTE'!$B$6:$F$836,4,0))</f>
      </c>
      <c r="G108" s="106">
        <f>IF(ISERROR(VLOOKUP($D108,'FERDİ SONUÇ'!$B$6:$H$962,6,0)),"",VLOOKUP($D108,'FERDİ SONUÇ'!$B$6:$H$962,6,0))</f>
      </c>
      <c r="H108" s="16" t="str">
        <f>IF(OR(F108="",G108="DQ",G108="DNF",G108="DNS",G108=""),"-",VLOOKUP(D108,'FERDİ SONUÇ'!$B$6:$H$962,7,0))</f>
        <v>-</v>
      </c>
      <c r="I108" s="16" t="str">
        <f>IF(OR(F108="",F108="F",G108="DQ",G108="DNF",G108="DNS",G108=""),"-",VLOOKUP(D108,'FERDİ SONUÇ'!$B$6:$H$962,7,0))</f>
        <v>-</v>
      </c>
      <c r="J108" s="18" t="str">
        <f>IF(ISERROR(SMALL(I106:I109,3)),"-",SMALL(I106:I109,3))</f>
        <v>-</v>
      </c>
      <c r="K108" s="133"/>
      <c r="L108" s="133" t="str">
        <f>N108</f>
        <v>DQ</v>
      </c>
      <c r="M108" s="133"/>
      <c r="N108" s="110" t="str">
        <f>_xlfn.IFERROR(IF(C108="","",IF(OR(J106="-",J107="-",J108="-"),"DQ",SUM(J106,J107,J108)))+(J108*0.0001),"DQ")</f>
        <v>DQ</v>
      </c>
      <c r="O108" s="110">
        <f>IF(C108="","",IF(OR(K108="DQ",L108="DQ",M108="DQ"),"DQ",SUM(K108,L108,M108)))</f>
      </c>
      <c r="BF108" s="2">
        <v>1152</v>
      </c>
    </row>
    <row r="109" spans="2:58" ht="15" customHeight="1">
      <c r="B109" s="13"/>
      <c r="C109" s="14"/>
      <c r="D109" s="109"/>
      <c r="E109" s="15">
        <f>IF(ISERROR(VLOOKUP($D109,'START LİSTE'!$B$6:$F$836,2,0)),"",VLOOKUP($D109,'START LİSTE'!$B$6:$F$836,2,0))</f>
      </c>
      <c r="F109" s="16">
        <f>IF(ISERROR(VLOOKUP($D109,'START LİSTE'!$B$6:$F$836,4,0)),"",VLOOKUP($D109,'START LİSTE'!$B$6:$F$836,4,0))</f>
      </c>
      <c r="G109" s="106">
        <f>IF(ISERROR(VLOOKUP($D109,'FERDİ SONUÇ'!$B$6:$H$962,6,0)),"",VLOOKUP($D109,'FERDİ SONUÇ'!$B$6:$H$962,6,0))</f>
      </c>
      <c r="H109" s="16" t="str">
        <f>IF(OR(F109="",G109="DQ",G109="DNF",G109="DNS",G109=""),"-",VLOOKUP(D109,'FERDİ SONUÇ'!$B$6:$H$962,7,0))</f>
        <v>-</v>
      </c>
      <c r="I109" s="16" t="str">
        <f>IF(OR(F109="",F109="F",G109="DQ",G109="DNF",G109="DNS",G109=""),"-",VLOOKUP(D109,'FERDİ SONUÇ'!$B$6:$H$962,7,0))</f>
        <v>-</v>
      </c>
      <c r="J109" s="18" t="str">
        <f>IF(ISERROR(SMALL(I106:I109,4)),"-",SMALL(I106:I109,4))</f>
        <v>-</v>
      </c>
      <c r="K109" s="133"/>
      <c r="L109" s="133"/>
      <c r="M109" s="133"/>
      <c r="N109" s="98"/>
      <c r="O109" s="19"/>
      <c r="BF109" s="2">
        <v>1153</v>
      </c>
    </row>
    <row r="110" spans="2:58" ht="15" customHeight="1">
      <c r="B110" s="6"/>
      <c r="C110" s="7"/>
      <c r="D110" s="108"/>
      <c r="E110" s="8">
        <f>IF(ISERROR(VLOOKUP($D110,'START LİSTE'!$B$6:$F$836,2,0)),"",VLOOKUP($D110,'START LİSTE'!$B$6:$F$836,2,0))</f>
      </c>
      <c r="F110" s="9">
        <f>IF(ISERROR(VLOOKUP($D110,'START LİSTE'!$B$6:$F$836,4,0)),"",VLOOKUP($D110,'START LİSTE'!$B$6:$F$836,4,0))</f>
      </c>
      <c r="G110" s="105">
        <f>IF(ISERROR(VLOOKUP($D110,'FERDİ SONUÇ'!$B$6:$H$962,6,0)),"",VLOOKUP($D110,'FERDİ SONUÇ'!$B$6:$H$962,6,0))</f>
      </c>
      <c r="H110" s="9" t="str">
        <f>IF(OR(F110="",G110="DQ",G110="DNF",G110="DNS",G110=""),"-",VLOOKUP(D110,'FERDİ SONUÇ'!$B$6:$H$962,7,0))</f>
        <v>-</v>
      </c>
      <c r="I110" s="9" t="str">
        <f>IF(OR(F110="",F110="F",G110="DQ",G110="DNF",G110="DNS",G110=""),"-",VLOOKUP(D110,'FERDİ SONUÇ'!$B$6:$H$962,7,0))</f>
        <v>-</v>
      </c>
      <c r="J110" s="11" t="str">
        <f>IF(ISERROR(SMALL(I110:I113,1)),"-",SMALL(I110:I113,1))</f>
        <v>-</v>
      </c>
      <c r="K110" s="132"/>
      <c r="L110" s="132"/>
      <c r="M110" s="132"/>
      <c r="N110" s="97"/>
      <c r="O110" s="12"/>
      <c r="BF110" s="2">
        <v>1156</v>
      </c>
    </row>
    <row r="111" spans="2:58" ht="15" customHeight="1">
      <c r="B111" s="13"/>
      <c r="C111" s="14"/>
      <c r="D111" s="109"/>
      <c r="E111" s="15">
        <f>IF(ISERROR(VLOOKUP($D111,'START LİSTE'!$B$6:$F$836,2,0)),"",VLOOKUP($D111,'START LİSTE'!$B$6:$F$836,2,0))</f>
      </c>
      <c r="F111" s="16">
        <f>IF(ISERROR(VLOOKUP($D111,'START LİSTE'!$B$6:$F$836,4,0)),"",VLOOKUP($D111,'START LİSTE'!$B$6:$F$836,4,0))</f>
      </c>
      <c r="G111" s="106">
        <f>IF(ISERROR(VLOOKUP($D111,'FERDİ SONUÇ'!$B$6:$H$962,6,0)),"",VLOOKUP($D111,'FERDİ SONUÇ'!$B$6:$H$962,6,0))</f>
      </c>
      <c r="H111" s="16" t="str">
        <f>IF(OR(F111="",G111="DQ",G111="DNF",G111="DNS",G111=""),"-",VLOOKUP(D111,'FERDİ SONUÇ'!$B$6:$H$962,7,0))</f>
        <v>-</v>
      </c>
      <c r="I111" s="16" t="str">
        <f>IF(OR(F111="",F111="F",G111="DQ",G111="DNF",G111="DNS",G111=""),"-",VLOOKUP(D111,'FERDİ SONUÇ'!$B$6:$H$962,7,0))</f>
        <v>-</v>
      </c>
      <c r="J111" s="18" t="str">
        <f>IF(ISERROR(SMALL(I110:I113,2)),"-",SMALL(I110:I113,2))</f>
        <v>-</v>
      </c>
      <c r="K111" s="133"/>
      <c r="L111" s="133"/>
      <c r="M111" s="133"/>
      <c r="N111" s="98"/>
      <c r="O111" s="19"/>
      <c r="BF111" s="2">
        <v>1157</v>
      </c>
    </row>
    <row r="112" spans="1:58" ht="15" customHeight="1">
      <c r="A112" s="101">
        <f>IF(AND(C112&lt;&gt;"",O112&lt;&gt;"DQ"),COUNT(O$6:O$1247)-(RANK(O112,O$6:O$1247)+COUNTIF(O$6:O112,O112))+2,IF(D110&lt;&gt;"",BF112,""))</f>
      </c>
      <c r="B112" s="101">
        <f>IF(AND(C112&lt;&gt;"",N112&lt;&gt;"DQ"),COUNT(N$6:N$1247)-(RANK(N112,N$6:N$1247)+COUNTIF(N$6:N112,N112))+2,IF(D110&lt;&gt;"",BF112,""))</f>
      </c>
      <c r="C112" s="14">
        <f>IF(ISERROR(VLOOKUP(D110,'START LİSTE'!$B$6:$F$836,3,0)),"",VLOOKUP(D110,'START LİSTE'!$B$6:$F$836,3,0))</f>
      </c>
      <c r="D112" s="109"/>
      <c r="E112" s="15">
        <f>IF(ISERROR(VLOOKUP($D112,'START LİSTE'!$B$6:$F$836,2,0)),"",VLOOKUP($D112,'START LİSTE'!$B$6:$F$836,2,0))</f>
      </c>
      <c r="F112" s="16">
        <f>IF(ISERROR(VLOOKUP($D112,'START LİSTE'!$B$6:$F$836,4,0)),"",VLOOKUP($D112,'START LİSTE'!$B$6:$F$836,4,0))</f>
      </c>
      <c r="G112" s="106">
        <f>IF(ISERROR(VLOOKUP($D112,'FERDİ SONUÇ'!$B$6:$H$962,6,0)),"",VLOOKUP($D112,'FERDİ SONUÇ'!$B$6:$H$962,6,0))</f>
      </c>
      <c r="H112" s="16" t="str">
        <f>IF(OR(F112="",G112="DQ",G112="DNF",G112="DNS",G112=""),"-",VLOOKUP(D112,'FERDİ SONUÇ'!$B$6:$H$962,7,0))</f>
        <v>-</v>
      </c>
      <c r="I112" s="16" t="str">
        <f>IF(OR(F112="",F112="F",G112="DQ",G112="DNF",G112="DNS",G112=""),"-",VLOOKUP(D112,'FERDİ SONUÇ'!$B$6:$H$962,7,0))</f>
        <v>-</v>
      </c>
      <c r="J112" s="18" t="str">
        <f>IF(ISERROR(SMALL(I110:I113,3)),"-",SMALL(I110:I113,3))</f>
        <v>-</v>
      </c>
      <c r="K112" s="133"/>
      <c r="L112" s="133" t="str">
        <f>N112</f>
        <v>DQ</v>
      </c>
      <c r="M112" s="133"/>
      <c r="N112" s="110" t="str">
        <f>_xlfn.IFERROR(IF(C112="","",IF(OR(J110="-",J111="-",J112="-"),"DQ",SUM(J110,J111,J112)))+(J112*0.0001),"DQ")</f>
        <v>DQ</v>
      </c>
      <c r="O112" s="110">
        <f>IF(C112="","",IF(OR(K112="DQ",L112="DQ",M112="DQ"),"DQ",SUM(K112,L112,M112)))</f>
      </c>
      <c r="BF112" s="2">
        <v>1158</v>
      </c>
    </row>
    <row r="113" spans="2:58" ht="15" customHeight="1">
      <c r="B113" s="13"/>
      <c r="C113" s="14"/>
      <c r="D113" s="109"/>
      <c r="E113" s="15">
        <f>IF(ISERROR(VLOOKUP($D113,'START LİSTE'!$B$6:$F$836,2,0)),"",VLOOKUP($D113,'START LİSTE'!$B$6:$F$836,2,0))</f>
      </c>
      <c r="F113" s="16">
        <f>IF(ISERROR(VLOOKUP($D113,'START LİSTE'!$B$6:$F$836,4,0)),"",VLOOKUP($D113,'START LİSTE'!$B$6:$F$836,4,0))</f>
      </c>
      <c r="G113" s="106">
        <f>IF(ISERROR(VLOOKUP($D113,'FERDİ SONUÇ'!$B$6:$H$962,6,0)),"",VLOOKUP($D113,'FERDİ SONUÇ'!$B$6:$H$962,6,0))</f>
      </c>
      <c r="H113" s="16" t="str">
        <f>IF(OR(F113="",G113="DQ",G113="DNF",G113="DNS",G113=""),"-",VLOOKUP(D113,'FERDİ SONUÇ'!$B$6:$H$962,7,0))</f>
        <v>-</v>
      </c>
      <c r="I113" s="16" t="str">
        <f>IF(OR(F113="",F113="F",G113="DQ",G113="DNF",G113="DNS",G113=""),"-",VLOOKUP(D113,'FERDİ SONUÇ'!$B$6:$H$962,7,0))</f>
        <v>-</v>
      </c>
      <c r="J113" s="18" t="str">
        <f>IF(ISERROR(SMALL(I110:I113,4)),"-",SMALL(I110:I113,4))</f>
        <v>-</v>
      </c>
      <c r="K113" s="133"/>
      <c r="L113" s="133"/>
      <c r="M113" s="133"/>
      <c r="N113" s="98"/>
      <c r="O113" s="19"/>
      <c r="BF113" s="2">
        <v>1159</v>
      </c>
    </row>
    <row r="114" spans="2:58" ht="15" customHeight="1">
      <c r="B114" s="6"/>
      <c r="C114" s="7"/>
      <c r="D114" s="108"/>
      <c r="E114" s="8">
        <f>IF(ISERROR(VLOOKUP($D114,'START LİSTE'!$B$6:$F$836,2,0)),"",VLOOKUP($D114,'START LİSTE'!$B$6:$F$836,2,0))</f>
      </c>
      <c r="F114" s="9">
        <f>IF(ISERROR(VLOOKUP($D114,'START LİSTE'!$B$6:$F$836,4,0)),"",VLOOKUP($D114,'START LİSTE'!$B$6:$F$836,4,0))</f>
      </c>
      <c r="G114" s="105">
        <f>IF(ISERROR(VLOOKUP($D114,'FERDİ SONUÇ'!$B$6:$H$962,6,0)),"",VLOOKUP($D114,'FERDİ SONUÇ'!$B$6:$H$962,6,0))</f>
      </c>
      <c r="H114" s="9" t="str">
        <f>IF(OR(F114="",G114="DQ",G114="DNF",G114="DNS",G114=""),"-",VLOOKUP(D114,'FERDİ SONUÇ'!$B$6:$H$962,7,0))</f>
        <v>-</v>
      </c>
      <c r="I114" s="9" t="str">
        <f>IF(OR(F114="",F114="F",G114="DQ",G114="DNF",G114="DNS",G114=""),"-",VLOOKUP(D114,'FERDİ SONUÇ'!$B$6:$H$962,7,0))</f>
        <v>-</v>
      </c>
      <c r="J114" s="11" t="str">
        <f>IF(ISERROR(SMALL(I114:I117,1)),"-",SMALL(I114:I117,1))</f>
        <v>-</v>
      </c>
      <c r="K114" s="132"/>
      <c r="L114" s="132"/>
      <c r="M114" s="132"/>
      <c r="N114" s="97"/>
      <c r="O114" s="12"/>
      <c r="BF114" s="2">
        <v>1162</v>
      </c>
    </row>
    <row r="115" spans="2:58" ht="15" customHeight="1">
      <c r="B115" s="13"/>
      <c r="C115" s="14"/>
      <c r="D115" s="109"/>
      <c r="E115" s="15">
        <f>IF(ISERROR(VLOOKUP($D115,'START LİSTE'!$B$6:$F$836,2,0)),"",VLOOKUP($D115,'START LİSTE'!$B$6:$F$836,2,0))</f>
      </c>
      <c r="F115" s="16">
        <f>IF(ISERROR(VLOOKUP($D115,'START LİSTE'!$B$6:$F$836,4,0)),"",VLOOKUP($D115,'START LİSTE'!$B$6:$F$836,4,0))</f>
      </c>
      <c r="G115" s="106">
        <f>IF(ISERROR(VLOOKUP($D115,'FERDİ SONUÇ'!$B$6:$H$962,6,0)),"",VLOOKUP($D115,'FERDİ SONUÇ'!$B$6:$H$962,6,0))</f>
      </c>
      <c r="H115" s="16" t="str">
        <f>IF(OR(F115="",G115="DQ",G115="DNF",G115="DNS",G115=""),"-",VLOOKUP(D115,'FERDİ SONUÇ'!$B$6:$H$962,7,0))</f>
        <v>-</v>
      </c>
      <c r="I115" s="16" t="str">
        <f>IF(OR(F115="",F115="F",G115="DQ",G115="DNF",G115="DNS",G115=""),"-",VLOOKUP(D115,'FERDİ SONUÇ'!$B$6:$H$962,7,0))</f>
        <v>-</v>
      </c>
      <c r="J115" s="18" t="str">
        <f>IF(ISERROR(SMALL(I114:I117,2)),"-",SMALL(I114:I117,2))</f>
        <v>-</v>
      </c>
      <c r="K115" s="133"/>
      <c r="L115" s="133"/>
      <c r="M115" s="133"/>
      <c r="N115" s="98"/>
      <c r="O115" s="19"/>
      <c r="BF115" s="2">
        <v>1163</v>
      </c>
    </row>
    <row r="116" spans="1:58" ht="15" customHeight="1">
      <c r="A116" s="101">
        <f>IF(AND(C116&lt;&gt;"",O116&lt;&gt;"DQ"),COUNT(O$6:O$1247)-(RANK(O116,O$6:O$1247)+COUNTIF(O$6:O116,O116))+2,IF(D114&lt;&gt;"",BF116,""))</f>
      </c>
      <c r="B116" s="101">
        <f>IF(AND(C116&lt;&gt;"",N116&lt;&gt;"DQ"),COUNT(N$6:N$1247)-(RANK(N116,N$6:N$1247)+COUNTIF(N$6:N116,N116))+2,IF(D114&lt;&gt;"",BF116,""))</f>
      </c>
      <c r="C116" s="14">
        <f>IF(ISERROR(VLOOKUP(D114,'START LİSTE'!$B$6:$F$836,3,0)),"",VLOOKUP(D114,'START LİSTE'!$B$6:$F$836,3,0))</f>
      </c>
      <c r="D116" s="109"/>
      <c r="E116" s="15">
        <f>IF(ISERROR(VLOOKUP($D116,'START LİSTE'!$B$6:$F$836,2,0)),"",VLOOKUP($D116,'START LİSTE'!$B$6:$F$836,2,0))</f>
      </c>
      <c r="F116" s="16">
        <f>IF(ISERROR(VLOOKUP($D116,'START LİSTE'!$B$6:$F$836,4,0)),"",VLOOKUP($D116,'START LİSTE'!$B$6:$F$836,4,0))</f>
      </c>
      <c r="G116" s="106">
        <f>IF(ISERROR(VLOOKUP($D116,'FERDİ SONUÇ'!$B$6:$H$962,6,0)),"",VLOOKUP($D116,'FERDİ SONUÇ'!$B$6:$H$962,6,0))</f>
      </c>
      <c r="H116" s="16" t="str">
        <f>IF(OR(F116="",G116="DQ",G116="DNF",G116="DNS",G116=""),"-",VLOOKUP(D116,'FERDİ SONUÇ'!$B$6:$H$962,7,0))</f>
        <v>-</v>
      </c>
      <c r="I116" s="16" t="str">
        <f>IF(OR(F116="",F116="F",G116="DQ",G116="DNF",G116="DNS",G116=""),"-",VLOOKUP(D116,'FERDİ SONUÇ'!$B$6:$H$962,7,0))</f>
        <v>-</v>
      </c>
      <c r="J116" s="18" t="str">
        <f>IF(ISERROR(SMALL(I114:I117,3)),"-",SMALL(I114:I117,3))</f>
        <v>-</v>
      </c>
      <c r="K116" s="133"/>
      <c r="L116" s="133" t="str">
        <f>N116</f>
        <v>DQ</v>
      </c>
      <c r="M116" s="133"/>
      <c r="N116" s="110" t="str">
        <f>_xlfn.IFERROR(IF(C116="","",IF(OR(J114="-",J115="-",J116="-"),"DQ",SUM(J114,J115,J116)))+(J116*0.0001),"DQ")</f>
        <v>DQ</v>
      </c>
      <c r="O116" s="110">
        <f>IF(C116="","",IF(OR(K116="DQ",L116="DQ",M116="DQ"),"DQ",SUM(K116,L116,M116)))</f>
      </c>
      <c r="BF116" s="2">
        <v>1164</v>
      </c>
    </row>
    <row r="117" spans="2:58" ht="15" customHeight="1">
      <c r="B117" s="13"/>
      <c r="C117" s="14"/>
      <c r="D117" s="109"/>
      <c r="E117" s="15">
        <f>IF(ISERROR(VLOOKUP($D117,'START LİSTE'!$B$6:$F$836,2,0)),"",VLOOKUP($D117,'START LİSTE'!$B$6:$F$836,2,0))</f>
      </c>
      <c r="F117" s="16">
        <f>IF(ISERROR(VLOOKUP($D117,'START LİSTE'!$B$6:$F$836,4,0)),"",VLOOKUP($D117,'START LİSTE'!$B$6:$F$836,4,0))</f>
      </c>
      <c r="G117" s="106">
        <f>IF(ISERROR(VLOOKUP($D117,'FERDİ SONUÇ'!$B$6:$H$962,6,0)),"",VLOOKUP($D117,'FERDİ SONUÇ'!$B$6:$H$962,6,0))</f>
      </c>
      <c r="H117" s="16" t="str">
        <f>IF(OR(F117="",G117="DQ",G117="DNF",G117="DNS",G117=""),"-",VLOOKUP(D117,'FERDİ SONUÇ'!$B$6:$H$962,7,0))</f>
        <v>-</v>
      </c>
      <c r="I117" s="16" t="str">
        <f>IF(OR(F117="",F117="F",G117="DQ",G117="DNF",G117="DNS",G117=""),"-",VLOOKUP(D117,'FERDİ SONUÇ'!$B$6:$H$962,7,0))</f>
        <v>-</v>
      </c>
      <c r="J117" s="18" t="str">
        <f>IF(ISERROR(SMALL(I114:I117,4)),"-",SMALL(I114:I117,4))</f>
        <v>-</v>
      </c>
      <c r="K117" s="133"/>
      <c r="L117" s="133"/>
      <c r="M117" s="133"/>
      <c r="N117" s="98"/>
      <c r="O117" s="19"/>
      <c r="BF117" s="2">
        <v>1165</v>
      </c>
    </row>
    <row r="118" spans="2:58" ht="15" customHeight="1">
      <c r="B118" s="6"/>
      <c r="C118" s="7"/>
      <c r="D118" s="108"/>
      <c r="E118" s="8">
        <f>IF(ISERROR(VLOOKUP($D118,'START LİSTE'!$B$6:$F$836,2,0)),"",VLOOKUP($D118,'START LİSTE'!$B$6:$F$836,2,0))</f>
      </c>
      <c r="F118" s="9">
        <f>IF(ISERROR(VLOOKUP($D118,'START LİSTE'!$B$6:$F$836,4,0)),"",VLOOKUP($D118,'START LİSTE'!$B$6:$F$836,4,0))</f>
      </c>
      <c r="G118" s="105">
        <f>IF(ISERROR(VLOOKUP($D118,'FERDİ SONUÇ'!$B$6:$H$962,6,0)),"",VLOOKUP($D118,'FERDİ SONUÇ'!$B$6:$H$962,6,0))</f>
      </c>
      <c r="H118" s="9" t="str">
        <f>IF(OR(F118="",G118="DQ",G118="DNF",G118="DNS",G118=""),"-",VLOOKUP(D118,'FERDİ SONUÇ'!$B$6:$H$962,7,0))</f>
        <v>-</v>
      </c>
      <c r="I118" s="9" t="str">
        <f>IF(OR(F118="",F118="F",G118="DQ",G118="DNF",G118="DNS",G118=""),"-",VLOOKUP(D118,'FERDİ SONUÇ'!$B$6:$H$962,7,0))</f>
        <v>-</v>
      </c>
      <c r="J118" s="11" t="str">
        <f>IF(ISERROR(SMALL(I118:I121,1)),"-",SMALL(I118:I121,1))</f>
        <v>-</v>
      </c>
      <c r="K118" s="132"/>
      <c r="L118" s="132"/>
      <c r="M118" s="132"/>
      <c r="N118" s="97"/>
      <c r="O118" s="12"/>
      <c r="BF118" s="2">
        <v>1168</v>
      </c>
    </row>
    <row r="119" spans="2:58" ht="15" customHeight="1">
      <c r="B119" s="13"/>
      <c r="C119" s="14"/>
      <c r="D119" s="109"/>
      <c r="E119" s="15">
        <f>IF(ISERROR(VLOOKUP($D119,'START LİSTE'!$B$6:$F$836,2,0)),"",VLOOKUP($D119,'START LİSTE'!$B$6:$F$836,2,0))</f>
      </c>
      <c r="F119" s="16">
        <f>IF(ISERROR(VLOOKUP($D119,'START LİSTE'!$B$6:$F$836,4,0)),"",VLOOKUP($D119,'START LİSTE'!$B$6:$F$836,4,0))</f>
      </c>
      <c r="G119" s="106">
        <f>IF(ISERROR(VLOOKUP($D119,'FERDİ SONUÇ'!$B$6:$H$962,6,0)),"",VLOOKUP($D119,'FERDİ SONUÇ'!$B$6:$H$962,6,0))</f>
      </c>
      <c r="H119" s="16" t="str">
        <f>IF(OR(F119="",G119="DQ",G119="DNF",G119="DNS",G119=""),"-",VLOOKUP(D119,'FERDİ SONUÇ'!$B$6:$H$962,7,0))</f>
        <v>-</v>
      </c>
      <c r="I119" s="16" t="str">
        <f>IF(OR(F119="",F119="F",G119="DQ",G119="DNF",G119="DNS",G119=""),"-",VLOOKUP(D119,'FERDİ SONUÇ'!$B$6:$H$962,7,0))</f>
        <v>-</v>
      </c>
      <c r="J119" s="18" t="str">
        <f>IF(ISERROR(SMALL(I118:I121,2)),"-",SMALL(I118:I121,2))</f>
        <v>-</v>
      </c>
      <c r="K119" s="133"/>
      <c r="L119" s="133"/>
      <c r="M119" s="133"/>
      <c r="N119" s="98"/>
      <c r="O119" s="19"/>
      <c r="BF119" s="2">
        <v>1169</v>
      </c>
    </row>
    <row r="120" spans="1:58" ht="15" customHeight="1">
      <c r="A120" s="101">
        <f>IF(AND(C120&lt;&gt;"",O120&lt;&gt;"DQ"),COUNT(O$6:O$1247)-(RANK(O120,O$6:O$1247)+COUNTIF(O$6:O120,O120))+2,IF(D118&lt;&gt;"",BF120,""))</f>
      </c>
      <c r="B120" s="101">
        <f>IF(AND(C120&lt;&gt;"",N120&lt;&gt;"DQ"),COUNT(N$6:N$1247)-(RANK(N120,N$6:N$1247)+COUNTIF(N$6:N120,N120))+2,IF(D118&lt;&gt;"",BF120,""))</f>
      </c>
      <c r="C120" s="14">
        <f>IF(ISERROR(VLOOKUP(D118,'START LİSTE'!$B$6:$F$836,3,0)),"",VLOOKUP(D118,'START LİSTE'!$B$6:$F$836,3,0))</f>
      </c>
      <c r="D120" s="109"/>
      <c r="E120" s="15">
        <f>IF(ISERROR(VLOOKUP($D120,'START LİSTE'!$B$6:$F$836,2,0)),"",VLOOKUP($D120,'START LİSTE'!$B$6:$F$836,2,0))</f>
      </c>
      <c r="F120" s="16">
        <f>IF(ISERROR(VLOOKUP($D120,'START LİSTE'!$B$6:$F$836,4,0)),"",VLOOKUP($D120,'START LİSTE'!$B$6:$F$836,4,0))</f>
      </c>
      <c r="G120" s="106">
        <f>IF(ISERROR(VLOOKUP($D120,'FERDİ SONUÇ'!$B$6:$H$962,6,0)),"",VLOOKUP($D120,'FERDİ SONUÇ'!$B$6:$H$962,6,0))</f>
      </c>
      <c r="H120" s="16" t="str">
        <f>IF(OR(F120="",G120="DQ",G120="DNF",G120="DNS",G120=""),"-",VLOOKUP(D120,'FERDİ SONUÇ'!$B$6:$H$962,7,0))</f>
        <v>-</v>
      </c>
      <c r="I120" s="16" t="str">
        <f>IF(OR(F120="",F120="F",G120="DQ",G120="DNF",G120="DNS",G120=""),"-",VLOOKUP(D120,'FERDİ SONUÇ'!$B$6:$H$962,7,0))</f>
        <v>-</v>
      </c>
      <c r="J120" s="18" t="str">
        <f>IF(ISERROR(SMALL(I118:I121,3)),"-",SMALL(I118:I121,3))</f>
        <v>-</v>
      </c>
      <c r="K120" s="133"/>
      <c r="L120" s="133" t="str">
        <f>N120</f>
        <v>DQ</v>
      </c>
      <c r="M120" s="133"/>
      <c r="N120" s="110" t="str">
        <f>_xlfn.IFERROR(IF(C120="","",IF(OR(J118="-",J119="-",J120="-"),"DQ",SUM(J118,J119,J120)))+(J120*0.0001),"DQ")</f>
        <v>DQ</v>
      </c>
      <c r="O120" s="110">
        <f>IF(C120="","",IF(OR(K120="DQ",L120="DQ",M120="DQ"),"DQ",SUM(K120,L120,M120)))</f>
      </c>
      <c r="BF120" s="2">
        <v>1170</v>
      </c>
    </row>
    <row r="121" spans="2:58" ht="15" customHeight="1">
      <c r="B121" s="13"/>
      <c r="C121" s="14"/>
      <c r="D121" s="109"/>
      <c r="E121" s="15">
        <f>IF(ISERROR(VLOOKUP($D121,'START LİSTE'!$B$6:$F$836,2,0)),"",VLOOKUP($D121,'START LİSTE'!$B$6:$F$836,2,0))</f>
      </c>
      <c r="F121" s="16">
        <f>IF(ISERROR(VLOOKUP($D121,'START LİSTE'!$B$6:$F$836,4,0)),"",VLOOKUP($D121,'START LİSTE'!$B$6:$F$836,4,0))</f>
      </c>
      <c r="G121" s="106">
        <f>IF(ISERROR(VLOOKUP($D121,'FERDİ SONUÇ'!$B$6:$H$962,6,0)),"",VLOOKUP($D121,'FERDİ SONUÇ'!$B$6:$H$962,6,0))</f>
      </c>
      <c r="H121" s="16" t="str">
        <f>IF(OR(F121="",G121="DQ",G121="DNF",G121="DNS",G121=""),"-",VLOOKUP(D121,'FERDİ SONUÇ'!$B$6:$H$962,7,0))</f>
        <v>-</v>
      </c>
      <c r="I121" s="16" t="str">
        <f>IF(OR(F121="",F121="F",G121="DQ",G121="DNF",G121="DNS",G121=""),"-",VLOOKUP(D121,'FERDİ SONUÇ'!$B$6:$H$962,7,0))</f>
        <v>-</v>
      </c>
      <c r="J121" s="18" t="str">
        <f>IF(ISERROR(SMALL(I118:I121,4)),"-",SMALL(I118:I121,4))</f>
        <v>-</v>
      </c>
      <c r="K121" s="133"/>
      <c r="L121" s="133"/>
      <c r="M121" s="133"/>
      <c r="N121" s="98"/>
      <c r="O121" s="19"/>
      <c r="BF121" s="2">
        <v>1171</v>
      </c>
    </row>
    <row r="122" spans="2:58" ht="15" customHeight="1">
      <c r="B122" s="6"/>
      <c r="C122" s="7"/>
      <c r="D122" s="108"/>
      <c r="E122" s="8">
        <f>IF(ISERROR(VLOOKUP($D122,'START LİSTE'!$B$6:$F$836,2,0)),"",VLOOKUP($D122,'START LİSTE'!$B$6:$F$836,2,0))</f>
      </c>
      <c r="F122" s="9">
        <f>IF(ISERROR(VLOOKUP($D122,'START LİSTE'!$B$6:$F$836,4,0)),"",VLOOKUP($D122,'START LİSTE'!$B$6:$F$836,4,0))</f>
      </c>
      <c r="G122" s="105">
        <f>IF(ISERROR(VLOOKUP($D122,'FERDİ SONUÇ'!$B$6:$H$962,6,0)),"",VLOOKUP($D122,'FERDİ SONUÇ'!$B$6:$H$962,6,0))</f>
      </c>
      <c r="H122" s="9" t="str">
        <f>IF(OR(F122="",G122="DQ",G122="DNF",G122="DNS",G122=""),"-",VLOOKUP(D122,'FERDİ SONUÇ'!$B$6:$H$962,7,0))</f>
        <v>-</v>
      </c>
      <c r="I122" s="9" t="str">
        <f>IF(OR(F122="",F122="F",G122="DQ",G122="DNF",G122="DNS",G122=""),"-",VLOOKUP(D122,'FERDİ SONUÇ'!$B$6:$H$962,7,0))</f>
        <v>-</v>
      </c>
      <c r="J122" s="11" t="str">
        <f>IF(ISERROR(SMALL(I122:I125,1)),"-",SMALL(I122:I125,1))</f>
        <v>-</v>
      </c>
      <c r="K122" s="132"/>
      <c r="L122" s="132"/>
      <c r="M122" s="132"/>
      <c r="N122" s="97"/>
      <c r="O122" s="12"/>
      <c r="BF122" s="2">
        <v>1174</v>
      </c>
    </row>
    <row r="123" spans="2:58" ht="15" customHeight="1">
      <c r="B123" s="13"/>
      <c r="C123" s="14"/>
      <c r="D123" s="109"/>
      <c r="E123" s="15">
        <f>IF(ISERROR(VLOOKUP($D123,'START LİSTE'!$B$6:$F$836,2,0)),"",VLOOKUP($D123,'START LİSTE'!$B$6:$F$836,2,0))</f>
      </c>
      <c r="F123" s="16">
        <f>IF(ISERROR(VLOOKUP($D123,'START LİSTE'!$B$6:$F$836,4,0)),"",VLOOKUP($D123,'START LİSTE'!$B$6:$F$836,4,0))</f>
      </c>
      <c r="G123" s="106">
        <f>IF(ISERROR(VLOOKUP($D123,'FERDİ SONUÇ'!$B$6:$H$962,6,0)),"",VLOOKUP($D123,'FERDİ SONUÇ'!$B$6:$H$962,6,0))</f>
      </c>
      <c r="H123" s="16" t="str">
        <f>IF(OR(F123="",G123="DQ",G123="DNF",G123="DNS",G123=""),"-",VLOOKUP(D123,'FERDİ SONUÇ'!$B$6:$H$962,7,0))</f>
        <v>-</v>
      </c>
      <c r="I123" s="16" t="str">
        <f>IF(OR(F123="",F123="F",G123="DQ",G123="DNF",G123="DNS",G123=""),"-",VLOOKUP(D123,'FERDİ SONUÇ'!$B$6:$H$962,7,0))</f>
        <v>-</v>
      </c>
      <c r="J123" s="18" t="str">
        <f>IF(ISERROR(SMALL(I122:I125,2)),"-",SMALL(I122:I125,2))</f>
        <v>-</v>
      </c>
      <c r="K123" s="133"/>
      <c r="L123" s="133"/>
      <c r="M123" s="133"/>
      <c r="N123" s="98"/>
      <c r="O123" s="19"/>
      <c r="BF123" s="2">
        <v>1175</v>
      </c>
    </row>
    <row r="124" spans="1:58" ht="15" customHeight="1">
      <c r="A124" s="101">
        <f>IF(AND(C124&lt;&gt;"",O124&lt;&gt;"DQ"),COUNT(O$6:O$1247)-(RANK(O124,O$6:O$1247)+COUNTIF(O$6:O124,O124))+2,IF(D122&lt;&gt;"",BF124,""))</f>
      </c>
      <c r="B124" s="101">
        <f>IF(AND(C124&lt;&gt;"",N124&lt;&gt;"DQ"),COUNT(N$6:N$1247)-(RANK(N124,N$6:N$1247)+COUNTIF(N$6:N124,N124))+2,IF(D122&lt;&gt;"",BF124,""))</f>
      </c>
      <c r="C124" s="14">
        <f>IF(ISERROR(VLOOKUP(D122,'START LİSTE'!$B$6:$F$836,3,0)),"",VLOOKUP(D122,'START LİSTE'!$B$6:$F$836,3,0))</f>
      </c>
      <c r="D124" s="109"/>
      <c r="E124" s="15">
        <f>IF(ISERROR(VLOOKUP($D124,'START LİSTE'!$B$6:$F$836,2,0)),"",VLOOKUP($D124,'START LİSTE'!$B$6:$F$836,2,0))</f>
      </c>
      <c r="F124" s="16">
        <f>IF(ISERROR(VLOOKUP($D124,'START LİSTE'!$B$6:$F$836,4,0)),"",VLOOKUP($D124,'START LİSTE'!$B$6:$F$836,4,0))</f>
      </c>
      <c r="G124" s="106">
        <f>IF(ISERROR(VLOOKUP($D124,'FERDİ SONUÇ'!$B$6:$H$962,6,0)),"",VLOOKUP($D124,'FERDİ SONUÇ'!$B$6:$H$962,6,0))</f>
      </c>
      <c r="H124" s="16" t="str">
        <f>IF(OR(F124="",G124="DQ",G124="DNF",G124="DNS",G124=""),"-",VLOOKUP(D124,'FERDİ SONUÇ'!$B$6:$H$962,7,0))</f>
        <v>-</v>
      </c>
      <c r="I124" s="16" t="str">
        <f>IF(OR(F124="",F124="F",G124="DQ",G124="DNF",G124="DNS",G124=""),"-",VLOOKUP(D124,'FERDİ SONUÇ'!$B$6:$H$962,7,0))</f>
        <v>-</v>
      </c>
      <c r="J124" s="18" t="str">
        <f>IF(ISERROR(SMALL(I122:I125,3)),"-",SMALL(I122:I125,3))</f>
        <v>-</v>
      </c>
      <c r="K124" s="133"/>
      <c r="L124" s="133" t="str">
        <f>N124</f>
        <v>DQ</v>
      </c>
      <c r="M124" s="133"/>
      <c r="N124" s="110" t="str">
        <f>_xlfn.IFERROR(IF(C124="","",IF(OR(J122="-",J123="-",J124="-"),"DQ",SUM(J122,J123,J124)))+(J124*0.0001),"DQ")</f>
        <v>DQ</v>
      </c>
      <c r="O124" s="110">
        <f>IF(C124="","",IF(OR(K124="DQ",L124="DQ",M124="DQ"),"DQ",SUM(K124,L124,M124)))</f>
      </c>
      <c r="BF124" s="2">
        <v>1176</v>
      </c>
    </row>
    <row r="125" spans="2:58" ht="15" customHeight="1">
      <c r="B125" s="21"/>
      <c r="C125" s="22"/>
      <c r="D125" s="109"/>
      <c r="E125" s="23">
        <f>IF(ISERROR(VLOOKUP($D125,'START LİSTE'!$B$6:$F$836,2,0)),"",VLOOKUP($D125,'START LİSTE'!$B$6:$F$836,2,0))</f>
      </c>
      <c r="F125" s="24">
        <f>IF(ISERROR(VLOOKUP($D125,'START LİSTE'!$B$6:$F$836,4,0)),"",VLOOKUP($D125,'START LİSTE'!$B$6:$F$836,4,0))</f>
      </c>
      <c r="G125" s="107">
        <f>IF(ISERROR(VLOOKUP($D125,'FERDİ SONUÇ'!$B$6:$H$962,6,0)),"",VLOOKUP($D125,'FERDİ SONUÇ'!$B$6:$H$962,6,0))</f>
      </c>
      <c r="H125" s="24" t="str">
        <f>IF(OR(F125="",G125="DQ",G125="DNF",G125="DNS",G125=""),"-",VLOOKUP(D125,'FERDİ SONUÇ'!$B$6:$H$962,7,0))</f>
        <v>-</v>
      </c>
      <c r="I125" s="24" t="str">
        <f>IF(OR(F125="",F125="F",G125="DQ",G125="DNF",G125="DNS",G125=""),"-",VLOOKUP(D125,'FERDİ SONUÇ'!$B$6:$H$962,7,0))</f>
        <v>-</v>
      </c>
      <c r="J125" s="25" t="str">
        <f>IF(ISERROR(SMALL(I122:I125,4)),"-",SMALL(I122:I125,4))</f>
        <v>-</v>
      </c>
      <c r="K125" s="134"/>
      <c r="L125" s="134"/>
      <c r="M125" s="134"/>
      <c r="N125" s="100"/>
      <c r="O125" s="26"/>
      <c r="BF125" s="2">
        <v>1177</v>
      </c>
    </row>
    <row r="126" ht="12.75">
      <c r="BF126" s="2">
        <v>1180</v>
      </c>
    </row>
    <row r="127" ht="12.75">
      <c r="BF127" s="2">
        <v>1181</v>
      </c>
    </row>
    <row r="128" ht="12.75">
      <c r="BF128" s="2">
        <v>1182</v>
      </c>
    </row>
    <row r="129" ht="12.75">
      <c r="BF129" s="2">
        <v>1183</v>
      </c>
    </row>
    <row r="130" ht="12.75">
      <c r="BF130" s="2">
        <v>1186</v>
      </c>
    </row>
    <row r="131" ht="12.75">
      <c r="BF131" s="2">
        <v>1187</v>
      </c>
    </row>
    <row r="132" ht="12.75">
      <c r="BF132" s="2">
        <v>1188</v>
      </c>
    </row>
    <row r="133" ht="12.75">
      <c r="BF133" s="2">
        <v>1189</v>
      </c>
    </row>
    <row r="134" ht="12.75">
      <c r="BF134" s="2"/>
    </row>
    <row r="135" ht="12.75">
      <c r="BF135" s="2"/>
    </row>
    <row r="136" ht="12.75">
      <c r="BF136" s="2"/>
    </row>
    <row r="137" ht="12.75">
      <c r="BF137" s="2"/>
    </row>
    <row r="138" ht="12.75">
      <c r="BF138" s="2"/>
    </row>
    <row r="139" ht="12.75">
      <c r="BF139" s="2"/>
    </row>
    <row r="140" ht="12.75">
      <c r="BF140" s="2"/>
    </row>
    <row r="141" ht="12.75">
      <c r="BF141" s="2"/>
    </row>
    <row r="142" ht="12.75">
      <c r="BF142" s="2"/>
    </row>
    <row r="143" ht="12.75">
      <c r="BF143" s="2"/>
    </row>
    <row r="144" ht="12.75">
      <c r="BF144" s="2"/>
    </row>
    <row r="145" ht="12.75">
      <c r="BF145" s="2"/>
    </row>
    <row r="146" ht="12.75">
      <c r="BF146" s="2"/>
    </row>
    <row r="147" ht="12.75">
      <c r="BF147" s="2"/>
    </row>
    <row r="148" ht="12.75">
      <c r="BF148" s="2"/>
    </row>
    <row r="149" ht="12.75">
      <c r="BF149" s="2"/>
    </row>
    <row r="150" ht="12.75">
      <c r="BF150" s="2"/>
    </row>
    <row r="151" ht="12.75">
      <c r="BF151" s="2"/>
    </row>
    <row r="152" ht="12.75">
      <c r="BF152" s="2"/>
    </row>
  </sheetData>
  <sheetProtection password="AA32" sheet="1"/>
  <mergeCells count="6">
    <mergeCell ref="D4:E4"/>
    <mergeCell ref="F4:O4"/>
    <mergeCell ref="A1:O1"/>
    <mergeCell ref="A2:O2"/>
    <mergeCell ref="A3:O3"/>
    <mergeCell ref="A4:C4"/>
  </mergeCells>
  <conditionalFormatting sqref="C5">
    <cfRule type="duplicateValues" priority="534" dxfId="662" stopIfTrue="1">
      <formula>AND(COUNTIF($C$5:$C$5,C5)&gt;1,NOT(ISBLANK(C5)))</formula>
    </cfRule>
  </conditionalFormatting>
  <conditionalFormatting sqref="B6:B7 B9:B11 B13:B15 B17:B19 B21:B23 B25:B27 B29:B31 B33:B35 B37:B39 B41:B43 B45:B47 B49:B51 B53:B55 B57:B59 B61:B63 B65:B67 B69:B71 B73:B75 B77:B79 B81:B83 B85:B87 B89:B91 B93:B95 B97:B99 B101:B103 B105:B107 B109:B111 B113:B115 B117:B119 B121:B123 B125">
    <cfRule type="cellIs" priority="524" dxfId="663" operator="greaterThan">
      <formula>1000</formula>
    </cfRule>
  </conditionalFormatting>
  <conditionalFormatting sqref="O6:O7 O9:O11 O13:O15 O17:O19 O21:O23 O25:O27 O29:O31 O33:O35 O37:O39 O41:O43 O45:O47 O49:O51 O53:O55 O57:O59 O61:O63 O65:O67 O69:O71 O73:O75 O77:O79 O81:O83 O85:O87 O89:O91 O93:O95 O97:O99 O101:O103 O105:O107 O109:O111 O113:O115 O117:O119 O121:O123 O125">
    <cfRule type="duplicateValues" priority="651" dxfId="1" stopIfTrue="1">
      <formula>AND(COUNTIF($O$6:$O$7,O6)+COUNTIF($O$9:$O$11,O6)+COUNTIF($O$13:$O$15,O6)+COUNTIF($O$17:$O$19,O6)+COUNTIF($O$21:$O$23,O6)+COUNTIF($O$25:$O$27,O6)+COUNTIF($O$29:$O$31,O6)+COUNTIF($O$33:$O$35,O6)+COUNTIF($O$37:$O$39,O6)+COUNTIF($O$41:$O$43,O6)+COUNTIF($O$45:$O$47,O6)+COUNTIF($O$49:$O$51,O6)+COUNTIF($O$53:$O$55,O6)+COUNTIF($O$57:$O$59,O6)+COUNTIF($O$61:$O$63,O6)+COUNTIF($O$65:$O$67,O6)+COUNTIF($O$69:$O$71,O6)+COUNTIF($O$73:$O$75,O6)+COUNTIF($O$77:$O$79,O6)+COUNTIF($O$81:$O$83,O6)+COUNTIF($O$85:$O$87,O6)+COUNTIF($O$89:$O$91,O6)+COUNTIF($O$93:$O$95,O6)+COUNTIF($O$97:$O$99,O6)+COUNTIF($O$101:$O$103,O6)+COUNTIF($O$105:$O$107,O6)+COUNTIF($O$109:$O$111,O6)+COUNTIF($O$113:$O$115,O6)+COUNTIF($O$117:$O$119,O6)+COUNTIF($O$121:$O$123,O6)+COUNTIF($O$125:$O$125,O6)&gt;1,NOT(ISBLANK(O6)))</formula>
    </cfRule>
  </conditionalFormatting>
  <conditionalFormatting sqref="N8">
    <cfRule type="duplicateValues" priority="517" dxfId="1" stopIfTrue="1">
      <formula>AND(COUNTIF($N$8:$N$8,N8)&gt;1,NOT(ISBLANK(N8)))</formula>
    </cfRule>
  </conditionalFormatting>
  <conditionalFormatting sqref="N8">
    <cfRule type="duplicateValues" priority="515" dxfId="662">
      <formula>AND(COUNTIF($N$8:$N$8,N8)&gt;1,NOT(ISBLANK(N8)))</formula>
    </cfRule>
    <cfRule type="duplicateValues" priority="516" dxfId="1" stopIfTrue="1">
      <formula>AND(COUNTIF($N$8:$N$8,N8)&gt;1,NOT(ISBLANK(N8)))</formula>
    </cfRule>
  </conditionalFormatting>
  <conditionalFormatting sqref="N8">
    <cfRule type="duplicateValues" priority="514" dxfId="1" stopIfTrue="1">
      <formula>AND(COUNTIF($N$8:$N$8,N8)&gt;1,NOT(ISBLANK(N8)))</formula>
    </cfRule>
  </conditionalFormatting>
  <conditionalFormatting sqref="N8">
    <cfRule type="duplicateValues" priority="513" dxfId="1" stopIfTrue="1">
      <formula>AND(COUNTIF($N$8:$N$8,N8)&gt;1,NOT(ISBLANK(N8)))</formula>
    </cfRule>
  </conditionalFormatting>
  <conditionalFormatting sqref="N8">
    <cfRule type="duplicateValues" priority="512" dxfId="1" stopIfTrue="1">
      <formula>AND(COUNTIF($N$8:$N$8,N8)&gt;1,NOT(ISBLANK(N8)))</formula>
    </cfRule>
  </conditionalFormatting>
  <conditionalFormatting sqref="N8">
    <cfRule type="duplicateValues" priority="511" dxfId="1" stopIfTrue="1">
      <formula>AND(COUNTIF($N$8:$N$8,N8)&gt;1,NOT(ISBLANK(N8)))</formula>
    </cfRule>
  </conditionalFormatting>
  <conditionalFormatting sqref="N8">
    <cfRule type="duplicateValues" priority="510" dxfId="1" stopIfTrue="1">
      <formula>AND(COUNTIF($N$8:$N$8,N8)&gt;1,NOT(ISBLANK(N8)))</formula>
    </cfRule>
  </conditionalFormatting>
  <conditionalFormatting sqref="N8">
    <cfRule type="duplicateValues" priority="509" dxfId="1" stopIfTrue="1">
      <formula>AND(COUNTIF($N$8:$N$8,N8)&gt;1,NOT(ISBLANK(N8)))</formula>
    </cfRule>
  </conditionalFormatting>
  <conditionalFormatting sqref="N8">
    <cfRule type="duplicateValues" priority="508" dxfId="662" stopIfTrue="1">
      <formula>AND(COUNTIF($N$8:$N$8,N8)&gt;1,NOT(ISBLANK(N8)))</formula>
    </cfRule>
  </conditionalFormatting>
  <conditionalFormatting sqref="N8">
    <cfRule type="duplicateValues" priority="506" dxfId="662">
      <formula>AND(COUNTIF($N$8:$N$8,N8)&gt;1,NOT(ISBLANK(N8)))</formula>
    </cfRule>
    <cfRule type="duplicateValues" priority="507" dxfId="1" stopIfTrue="1">
      <formula>AND(COUNTIF($N$8:$N$8,N8)&gt;1,NOT(ISBLANK(N8)))</formula>
    </cfRule>
  </conditionalFormatting>
  <conditionalFormatting sqref="N8">
    <cfRule type="duplicateValues" priority="505" dxfId="1" stopIfTrue="1">
      <formula>AND(COUNTIF($N$8:$N$8,N8)&gt;1,NOT(ISBLANK(N8)))</formula>
    </cfRule>
  </conditionalFormatting>
  <conditionalFormatting sqref="N8">
    <cfRule type="duplicateValues" priority="504" dxfId="1" stopIfTrue="1">
      <formula>AND(COUNTIF($N$8:$N$8,N8)&gt;1,NOT(ISBLANK(N8)))</formula>
    </cfRule>
  </conditionalFormatting>
  <conditionalFormatting sqref="N8">
    <cfRule type="duplicateValues" priority="503" dxfId="1" stopIfTrue="1">
      <formula>AND(COUNTIF($N$8:$N$8,N8)&gt;1,NOT(ISBLANK(N8)))</formula>
    </cfRule>
  </conditionalFormatting>
  <conditionalFormatting sqref="N8">
    <cfRule type="duplicateValues" priority="502" dxfId="1" stopIfTrue="1">
      <formula>AND(COUNTIF($N$8:$N$8,N8)&gt;1,NOT(ISBLANK(N8)))</formula>
    </cfRule>
  </conditionalFormatting>
  <conditionalFormatting sqref="N8">
    <cfRule type="duplicateValues" priority="501" dxfId="1" stopIfTrue="1">
      <formula>AND(COUNTIF($N$8:$N$8,N8)&gt;1,NOT(ISBLANK(N8)))</formula>
    </cfRule>
  </conditionalFormatting>
  <conditionalFormatting sqref="N8">
    <cfRule type="duplicateValues" priority="500" dxfId="1" stopIfTrue="1">
      <formula>AND(COUNTIF($N$8:$N$8,N8)&gt;1,NOT(ISBLANK(N8)))</formula>
    </cfRule>
  </conditionalFormatting>
  <conditionalFormatting sqref="N8">
    <cfRule type="duplicateValues" priority="499" dxfId="662" stopIfTrue="1">
      <formula>AND(COUNTIF($N$8:$N$8,N8)&gt;1,NOT(ISBLANK(N8)))</formula>
    </cfRule>
  </conditionalFormatting>
  <conditionalFormatting sqref="N12">
    <cfRule type="duplicateValues" priority="498" dxfId="1" stopIfTrue="1">
      <formula>AND(COUNTIF($N$12:$N$12,N12)&gt;1,NOT(ISBLANK(N12)))</formula>
    </cfRule>
  </conditionalFormatting>
  <conditionalFormatting sqref="N12">
    <cfRule type="duplicateValues" priority="496" dxfId="662">
      <formula>AND(COUNTIF($N$12:$N$12,N12)&gt;1,NOT(ISBLANK(N12)))</formula>
    </cfRule>
    <cfRule type="duplicateValues" priority="497" dxfId="1" stopIfTrue="1">
      <formula>AND(COUNTIF($N$12:$N$12,N12)&gt;1,NOT(ISBLANK(N12)))</formula>
    </cfRule>
  </conditionalFormatting>
  <conditionalFormatting sqref="N12">
    <cfRule type="duplicateValues" priority="495" dxfId="1" stopIfTrue="1">
      <formula>AND(COUNTIF($N$12:$N$12,N12)&gt;1,NOT(ISBLANK(N12)))</formula>
    </cfRule>
  </conditionalFormatting>
  <conditionalFormatting sqref="N12">
    <cfRule type="duplicateValues" priority="494" dxfId="1" stopIfTrue="1">
      <formula>AND(COUNTIF($N$12:$N$12,N12)&gt;1,NOT(ISBLANK(N12)))</formula>
    </cfRule>
  </conditionalFormatting>
  <conditionalFormatting sqref="N12">
    <cfRule type="duplicateValues" priority="493" dxfId="1" stopIfTrue="1">
      <formula>AND(COUNTIF($N$12:$N$12,N12)&gt;1,NOT(ISBLANK(N12)))</formula>
    </cfRule>
  </conditionalFormatting>
  <conditionalFormatting sqref="N12">
    <cfRule type="duplicateValues" priority="492" dxfId="1" stopIfTrue="1">
      <formula>AND(COUNTIF($N$12:$N$12,N12)&gt;1,NOT(ISBLANK(N12)))</formula>
    </cfRule>
  </conditionalFormatting>
  <conditionalFormatting sqref="N12">
    <cfRule type="duplicateValues" priority="491" dxfId="1" stopIfTrue="1">
      <formula>AND(COUNTIF($N$12:$N$12,N12)&gt;1,NOT(ISBLANK(N12)))</formula>
    </cfRule>
  </conditionalFormatting>
  <conditionalFormatting sqref="N12">
    <cfRule type="duplicateValues" priority="490" dxfId="1" stopIfTrue="1">
      <formula>AND(COUNTIF($N$12:$N$12,N12)&gt;1,NOT(ISBLANK(N12)))</formula>
    </cfRule>
  </conditionalFormatting>
  <conditionalFormatting sqref="N12">
    <cfRule type="duplicateValues" priority="489" dxfId="662" stopIfTrue="1">
      <formula>AND(COUNTIF($N$12:$N$12,N12)&gt;1,NOT(ISBLANK(N12)))</formula>
    </cfRule>
  </conditionalFormatting>
  <conditionalFormatting sqref="N12">
    <cfRule type="duplicateValues" priority="487" dxfId="662">
      <formula>AND(COUNTIF($N$12:$N$12,N12)&gt;1,NOT(ISBLANK(N12)))</formula>
    </cfRule>
    <cfRule type="duplicateValues" priority="488" dxfId="1" stopIfTrue="1">
      <formula>AND(COUNTIF($N$12:$N$12,N12)&gt;1,NOT(ISBLANK(N12)))</formula>
    </cfRule>
  </conditionalFormatting>
  <conditionalFormatting sqref="N12">
    <cfRule type="duplicateValues" priority="486" dxfId="1" stopIfTrue="1">
      <formula>AND(COUNTIF($N$12:$N$12,N12)&gt;1,NOT(ISBLANK(N12)))</formula>
    </cfRule>
  </conditionalFormatting>
  <conditionalFormatting sqref="N12">
    <cfRule type="duplicateValues" priority="485" dxfId="1" stopIfTrue="1">
      <formula>AND(COUNTIF($N$12:$N$12,N12)&gt;1,NOT(ISBLANK(N12)))</formula>
    </cfRule>
  </conditionalFormatting>
  <conditionalFormatting sqref="N12">
    <cfRule type="duplicateValues" priority="484" dxfId="1" stopIfTrue="1">
      <formula>AND(COUNTIF($N$12:$N$12,N12)&gt;1,NOT(ISBLANK(N12)))</formula>
    </cfRule>
  </conditionalFormatting>
  <conditionalFormatting sqref="N12">
    <cfRule type="duplicateValues" priority="483" dxfId="1" stopIfTrue="1">
      <formula>AND(COUNTIF($N$12:$N$12,N12)&gt;1,NOT(ISBLANK(N12)))</formula>
    </cfRule>
  </conditionalFormatting>
  <conditionalFormatting sqref="N12">
    <cfRule type="duplicateValues" priority="482" dxfId="1" stopIfTrue="1">
      <formula>AND(COUNTIF($N$12:$N$12,N12)&gt;1,NOT(ISBLANK(N12)))</formula>
    </cfRule>
  </conditionalFormatting>
  <conditionalFormatting sqref="N12">
    <cfRule type="duplicateValues" priority="481" dxfId="1" stopIfTrue="1">
      <formula>AND(COUNTIF($N$12:$N$12,N12)&gt;1,NOT(ISBLANK(N12)))</formula>
    </cfRule>
  </conditionalFormatting>
  <conditionalFormatting sqref="N12">
    <cfRule type="duplicateValues" priority="480" dxfId="662" stopIfTrue="1">
      <formula>AND(COUNTIF($N$12:$N$12,N12)&gt;1,NOT(ISBLANK(N12)))</formula>
    </cfRule>
  </conditionalFormatting>
  <conditionalFormatting sqref="N16">
    <cfRule type="duplicateValues" priority="479" dxfId="1" stopIfTrue="1">
      <formula>AND(COUNTIF($N$16:$N$16,N16)&gt;1,NOT(ISBLANK(N16)))</formula>
    </cfRule>
  </conditionalFormatting>
  <conditionalFormatting sqref="N16">
    <cfRule type="duplicateValues" priority="477" dxfId="662">
      <formula>AND(COUNTIF($N$16:$N$16,N16)&gt;1,NOT(ISBLANK(N16)))</formula>
    </cfRule>
    <cfRule type="duplicateValues" priority="478" dxfId="1" stopIfTrue="1">
      <formula>AND(COUNTIF($N$16:$N$16,N16)&gt;1,NOT(ISBLANK(N16)))</formula>
    </cfRule>
  </conditionalFormatting>
  <conditionalFormatting sqref="N16">
    <cfRule type="duplicateValues" priority="476" dxfId="1" stopIfTrue="1">
      <formula>AND(COUNTIF($N$16:$N$16,N16)&gt;1,NOT(ISBLANK(N16)))</formula>
    </cfRule>
  </conditionalFormatting>
  <conditionalFormatting sqref="N16">
    <cfRule type="duplicateValues" priority="475" dxfId="1" stopIfTrue="1">
      <formula>AND(COUNTIF($N$16:$N$16,N16)&gt;1,NOT(ISBLANK(N16)))</formula>
    </cfRule>
  </conditionalFormatting>
  <conditionalFormatting sqref="N16">
    <cfRule type="duplicateValues" priority="474" dxfId="1" stopIfTrue="1">
      <formula>AND(COUNTIF($N$16:$N$16,N16)&gt;1,NOT(ISBLANK(N16)))</formula>
    </cfRule>
  </conditionalFormatting>
  <conditionalFormatting sqref="N16">
    <cfRule type="duplicateValues" priority="473" dxfId="1" stopIfTrue="1">
      <formula>AND(COUNTIF($N$16:$N$16,N16)&gt;1,NOT(ISBLANK(N16)))</formula>
    </cfRule>
  </conditionalFormatting>
  <conditionalFormatting sqref="N16">
    <cfRule type="duplicateValues" priority="472" dxfId="1" stopIfTrue="1">
      <formula>AND(COUNTIF($N$16:$N$16,N16)&gt;1,NOT(ISBLANK(N16)))</formula>
    </cfRule>
  </conditionalFormatting>
  <conditionalFormatting sqref="N16">
    <cfRule type="duplicateValues" priority="471" dxfId="1" stopIfTrue="1">
      <formula>AND(COUNTIF($N$16:$N$16,N16)&gt;1,NOT(ISBLANK(N16)))</formula>
    </cfRule>
  </conditionalFormatting>
  <conditionalFormatting sqref="N16">
    <cfRule type="duplicateValues" priority="470" dxfId="662" stopIfTrue="1">
      <formula>AND(COUNTIF($N$16:$N$16,N16)&gt;1,NOT(ISBLANK(N16)))</formula>
    </cfRule>
  </conditionalFormatting>
  <conditionalFormatting sqref="N16">
    <cfRule type="duplicateValues" priority="468" dxfId="662">
      <formula>AND(COUNTIF($N$16:$N$16,N16)&gt;1,NOT(ISBLANK(N16)))</formula>
    </cfRule>
    <cfRule type="duplicateValues" priority="469" dxfId="1" stopIfTrue="1">
      <formula>AND(COUNTIF($N$16:$N$16,N16)&gt;1,NOT(ISBLANK(N16)))</formula>
    </cfRule>
  </conditionalFormatting>
  <conditionalFormatting sqref="N16">
    <cfRule type="duplicateValues" priority="467" dxfId="1" stopIfTrue="1">
      <formula>AND(COUNTIF($N$16:$N$16,N16)&gt;1,NOT(ISBLANK(N16)))</formula>
    </cfRule>
  </conditionalFormatting>
  <conditionalFormatting sqref="N16">
    <cfRule type="duplicateValues" priority="466" dxfId="1" stopIfTrue="1">
      <formula>AND(COUNTIF($N$16:$N$16,N16)&gt;1,NOT(ISBLANK(N16)))</formula>
    </cfRule>
  </conditionalFormatting>
  <conditionalFormatting sqref="N16">
    <cfRule type="duplicateValues" priority="465" dxfId="1" stopIfTrue="1">
      <formula>AND(COUNTIF($N$16:$N$16,N16)&gt;1,NOT(ISBLANK(N16)))</formula>
    </cfRule>
  </conditionalFormatting>
  <conditionalFormatting sqref="N16">
    <cfRule type="duplicateValues" priority="464" dxfId="1" stopIfTrue="1">
      <formula>AND(COUNTIF($N$16:$N$16,N16)&gt;1,NOT(ISBLANK(N16)))</formula>
    </cfRule>
  </conditionalFormatting>
  <conditionalFormatting sqref="N16">
    <cfRule type="duplicateValues" priority="463" dxfId="1" stopIfTrue="1">
      <formula>AND(COUNTIF($N$16:$N$16,N16)&gt;1,NOT(ISBLANK(N16)))</formula>
    </cfRule>
  </conditionalFormatting>
  <conditionalFormatting sqref="N16">
    <cfRule type="duplicateValues" priority="462" dxfId="1" stopIfTrue="1">
      <formula>AND(COUNTIF($N$16:$N$16,N16)&gt;1,NOT(ISBLANK(N16)))</formula>
    </cfRule>
  </conditionalFormatting>
  <conditionalFormatting sqref="N16">
    <cfRule type="duplicateValues" priority="461" dxfId="662" stopIfTrue="1">
      <formula>AND(COUNTIF($N$16:$N$16,N16)&gt;1,NOT(ISBLANK(N16)))</formula>
    </cfRule>
  </conditionalFormatting>
  <conditionalFormatting sqref="N20">
    <cfRule type="duplicateValues" priority="460" dxfId="1" stopIfTrue="1">
      <formula>AND(COUNTIF($N$20:$N$20,N20)&gt;1,NOT(ISBLANK(N20)))</formula>
    </cfRule>
  </conditionalFormatting>
  <conditionalFormatting sqref="N20">
    <cfRule type="duplicateValues" priority="458" dxfId="662">
      <formula>AND(COUNTIF($N$20:$N$20,N20)&gt;1,NOT(ISBLANK(N20)))</formula>
    </cfRule>
    <cfRule type="duplicateValues" priority="459" dxfId="1" stopIfTrue="1">
      <formula>AND(COUNTIF($N$20:$N$20,N20)&gt;1,NOT(ISBLANK(N20)))</formula>
    </cfRule>
  </conditionalFormatting>
  <conditionalFormatting sqref="N20">
    <cfRule type="duplicateValues" priority="457" dxfId="1" stopIfTrue="1">
      <formula>AND(COUNTIF($N$20:$N$20,N20)&gt;1,NOT(ISBLANK(N20)))</formula>
    </cfRule>
  </conditionalFormatting>
  <conditionalFormatting sqref="N20">
    <cfRule type="duplicateValues" priority="456" dxfId="1" stopIfTrue="1">
      <formula>AND(COUNTIF($N$20:$N$20,N20)&gt;1,NOT(ISBLANK(N20)))</formula>
    </cfRule>
  </conditionalFormatting>
  <conditionalFormatting sqref="N20">
    <cfRule type="duplicateValues" priority="455" dxfId="1" stopIfTrue="1">
      <formula>AND(COUNTIF($N$20:$N$20,N20)&gt;1,NOT(ISBLANK(N20)))</formula>
    </cfRule>
  </conditionalFormatting>
  <conditionalFormatting sqref="N20">
    <cfRule type="duplicateValues" priority="454" dxfId="1" stopIfTrue="1">
      <formula>AND(COUNTIF($N$20:$N$20,N20)&gt;1,NOT(ISBLANK(N20)))</formula>
    </cfRule>
  </conditionalFormatting>
  <conditionalFormatting sqref="N20">
    <cfRule type="duplicateValues" priority="453" dxfId="1" stopIfTrue="1">
      <formula>AND(COUNTIF($N$20:$N$20,N20)&gt;1,NOT(ISBLANK(N20)))</formula>
    </cfRule>
  </conditionalFormatting>
  <conditionalFormatting sqref="N20">
    <cfRule type="duplicateValues" priority="452" dxfId="1" stopIfTrue="1">
      <formula>AND(COUNTIF($N$20:$N$20,N20)&gt;1,NOT(ISBLANK(N20)))</formula>
    </cfRule>
  </conditionalFormatting>
  <conditionalFormatting sqref="N20">
    <cfRule type="duplicateValues" priority="451" dxfId="662" stopIfTrue="1">
      <formula>AND(COUNTIF($N$20:$N$20,N20)&gt;1,NOT(ISBLANK(N20)))</formula>
    </cfRule>
  </conditionalFormatting>
  <conditionalFormatting sqref="N20">
    <cfRule type="duplicateValues" priority="449" dxfId="662">
      <formula>AND(COUNTIF($N$20:$N$20,N20)&gt;1,NOT(ISBLANK(N20)))</formula>
    </cfRule>
    <cfRule type="duplicateValues" priority="450" dxfId="1" stopIfTrue="1">
      <formula>AND(COUNTIF($N$20:$N$20,N20)&gt;1,NOT(ISBLANK(N20)))</formula>
    </cfRule>
  </conditionalFormatting>
  <conditionalFormatting sqref="N20">
    <cfRule type="duplicateValues" priority="448" dxfId="1" stopIfTrue="1">
      <formula>AND(COUNTIF($N$20:$N$20,N20)&gt;1,NOT(ISBLANK(N20)))</formula>
    </cfRule>
  </conditionalFormatting>
  <conditionalFormatting sqref="N20">
    <cfRule type="duplicateValues" priority="447" dxfId="1" stopIfTrue="1">
      <formula>AND(COUNTIF($N$20:$N$20,N20)&gt;1,NOT(ISBLANK(N20)))</formula>
    </cfRule>
  </conditionalFormatting>
  <conditionalFormatting sqref="N20">
    <cfRule type="duplicateValues" priority="446" dxfId="1" stopIfTrue="1">
      <formula>AND(COUNTIF($N$20:$N$20,N20)&gt;1,NOT(ISBLANK(N20)))</formula>
    </cfRule>
  </conditionalFormatting>
  <conditionalFormatting sqref="N20">
    <cfRule type="duplicateValues" priority="445" dxfId="1" stopIfTrue="1">
      <formula>AND(COUNTIF($N$20:$N$20,N20)&gt;1,NOT(ISBLANK(N20)))</formula>
    </cfRule>
  </conditionalFormatting>
  <conditionalFormatting sqref="N20">
    <cfRule type="duplicateValues" priority="444" dxfId="1" stopIfTrue="1">
      <formula>AND(COUNTIF($N$20:$N$20,N20)&gt;1,NOT(ISBLANK(N20)))</formula>
    </cfRule>
  </conditionalFormatting>
  <conditionalFormatting sqref="N20">
    <cfRule type="duplicateValues" priority="443" dxfId="1" stopIfTrue="1">
      <formula>AND(COUNTIF($N$20:$N$20,N20)&gt;1,NOT(ISBLANK(N20)))</formula>
    </cfRule>
  </conditionalFormatting>
  <conditionalFormatting sqref="N20">
    <cfRule type="duplicateValues" priority="442" dxfId="662" stopIfTrue="1">
      <formula>AND(COUNTIF($N$20:$N$20,N20)&gt;1,NOT(ISBLANK(N20)))</formula>
    </cfRule>
  </conditionalFormatting>
  <conditionalFormatting sqref="N24">
    <cfRule type="duplicateValues" priority="441" dxfId="1" stopIfTrue="1">
      <formula>AND(COUNTIF($N$24:$N$24,N24)&gt;1,NOT(ISBLANK(N24)))</formula>
    </cfRule>
  </conditionalFormatting>
  <conditionalFormatting sqref="N24">
    <cfRule type="duplicateValues" priority="439" dxfId="662">
      <formula>AND(COUNTIF($N$24:$N$24,N24)&gt;1,NOT(ISBLANK(N24)))</formula>
    </cfRule>
    <cfRule type="duplicateValues" priority="440" dxfId="1" stopIfTrue="1">
      <formula>AND(COUNTIF($N$24:$N$24,N24)&gt;1,NOT(ISBLANK(N24)))</formula>
    </cfRule>
  </conditionalFormatting>
  <conditionalFormatting sqref="N24">
    <cfRule type="duplicateValues" priority="438" dxfId="1" stopIfTrue="1">
      <formula>AND(COUNTIF($N$24:$N$24,N24)&gt;1,NOT(ISBLANK(N24)))</formula>
    </cfRule>
  </conditionalFormatting>
  <conditionalFormatting sqref="N24">
    <cfRule type="duplicateValues" priority="437" dxfId="1" stopIfTrue="1">
      <formula>AND(COUNTIF($N$24:$N$24,N24)&gt;1,NOT(ISBLANK(N24)))</formula>
    </cfRule>
  </conditionalFormatting>
  <conditionalFormatting sqref="N24">
    <cfRule type="duplicateValues" priority="436" dxfId="1" stopIfTrue="1">
      <formula>AND(COUNTIF($N$24:$N$24,N24)&gt;1,NOT(ISBLANK(N24)))</formula>
    </cfRule>
  </conditionalFormatting>
  <conditionalFormatting sqref="N24">
    <cfRule type="duplicateValues" priority="435" dxfId="1" stopIfTrue="1">
      <formula>AND(COUNTIF($N$24:$N$24,N24)&gt;1,NOT(ISBLANK(N24)))</formula>
    </cfRule>
  </conditionalFormatting>
  <conditionalFormatting sqref="N24">
    <cfRule type="duplicateValues" priority="434" dxfId="1" stopIfTrue="1">
      <formula>AND(COUNTIF($N$24:$N$24,N24)&gt;1,NOT(ISBLANK(N24)))</formula>
    </cfRule>
  </conditionalFormatting>
  <conditionalFormatting sqref="N24">
    <cfRule type="duplicateValues" priority="433" dxfId="1" stopIfTrue="1">
      <formula>AND(COUNTIF($N$24:$N$24,N24)&gt;1,NOT(ISBLANK(N24)))</formula>
    </cfRule>
  </conditionalFormatting>
  <conditionalFormatting sqref="N24">
    <cfRule type="duplicateValues" priority="432" dxfId="662" stopIfTrue="1">
      <formula>AND(COUNTIF($N$24:$N$24,N24)&gt;1,NOT(ISBLANK(N24)))</formula>
    </cfRule>
  </conditionalFormatting>
  <conditionalFormatting sqref="N24">
    <cfRule type="duplicateValues" priority="430" dxfId="662">
      <formula>AND(COUNTIF($N$24:$N$24,N24)&gt;1,NOT(ISBLANK(N24)))</formula>
    </cfRule>
    <cfRule type="duplicateValues" priority="431" dxfId="1" stopIfTrue="1">
      <formula>AND(COUNTIF($N$24:$N$24,N24)&gt;1,NOT(ISBLANK(N24)))</formula>
    </cfRule>
  </conditionalFormatting>
  <conditionalFormatting sqref="N24">
    <cfRule type="duplicateValues" priority="429" dxfId="1" stopIfTrue="1">
      <formula>AND(COUNTIF($N$24:$N$24,N24)&gt;1,NOT(ISBLANK(N24)))</formula>
    </cfRule>
  </conditionalFormatting>
  <conditionalFormatting sqref="N24">
    <cfRule type="duplicateValues" priority="428" dxfId="1" stopIfTrue="1">
      <formula>AND(COUNTIF($N$24:$N$24,N24)&gt;1,NOT(ISBLANK(N24)))</formula>
    </cfRule>
  </conditionalFormatting>
  <conditionalFormatting sqref="N24">
    <cfRule type="duplicateValues" priority="427" dxfId="1" stopIfTrue="1">
      <formula>AND(COUNTIF($N$24:$N$24,N24)&gt;1,NOT(ISBLANK(N24)))</formula>
    </cfRule>
  </conditionalFormatting>
  <conditionalFormatting sqref="N24">
    <cfRule type="duplicateValues" priority="426" dxfId="1" stopIfTrue="1">
      <formula>AND(COUNTIF($N$24:$N$24,N24)&gt;1,NOT(ISBLANK(N24)))</formula>
    </cfRule>
  </conditionalFormatting>
  <conditionalFormatting sqref="N24">
    <cfRule type="duplicateValues" priority="425" dxfId="1" stopIfTrue="1">
      <formula>AND(COUNTIF($N$24:$N$24,N24)&gt;1,NOT(ISBLANK(N24)))</formula>
    </cfRule>
  </conditionalFormatting>
  <conditionalFormatting sqref="N24">
    <cfRule type="duplicateValues" priority="424" dxfId="1" stopIfTrue="1">
      <formula>AND(COUNTIF($N$24:$N$24,N24)&gt;1,NOT(ISBLANK(N24)))</formula>
    </cfRule>
  </conditionalFormatting>
  <conditionalFormatting sqref="N24">
    <cfRule type="duplicateValues" priority="423" dxfId="662" stopIfTrue="1">
      <formula>AND(COUNTIF($N$24:$N$24,N24)&gt;1,NOT(ISBLANK(N24)))</formula>
    </cfRule>
  </conditionalFormatting>
  <conditionalFormatting sqref="N28">
    <cfRule type="duplicateValues" priority="422" dxfId="1" stopIfTrue="1">
      <formula>AND(COUNTIF($N$28:$N$28,N28)&gt;1,NOT(ISBLANK(N28)))</formula>
    </cfRule>
  </conditionalFormatting>
  <conditionalFormatting sqref="N28">
    <cfRule type="duplicateValues" priority="420" dxfId="662">
      <formula>AND(COUNTIF($N$28:$N$28,N28)&gt;1,NOT(ISBLANK(N28)))</formula>
    </cfRule>
    <cfRule type="duplicateValues" priority="421" dxfId="1" stopIfTrue="1">
      <formula>AND(COUNTIF($N$28:$N$28,N28)&gt;1,NOT(ISBLANK(N28)))</formula>
    </cfRule>
  </conditionalFormatting>
  <conditionalFormatting sqref="N28">
    <cfRule type="duplicateValues" priority="419" dxfId="1" stopIfTrue="1">
      <formula>AND(COUNTIF($N$28:$N$28,N28)&gt;1,NOT(ISBLANK(N28)))</formula>
    </cfRule>
  </conditionalFormatting>
  <conditionalFormatting sqref="N28">
    <cfRule type="duplicateValues" priority="418" dxfId="1" stopIfTrue="1">
      <formula>AND(COUNTIF($N$28:$N$28,N28)&gt;1,NOT(ISBLANK(N28)))</formula>
    </cfRule>
  </conditionalFormatting>
  <conditionalFormatting sqref="N28">
    <cfRule type="duplicateValues" priority="417" dxfId="1" stopIfTrue="1">
      <formula>AND(COUNTIF($N$28:$N$28,N28)&gt;1,NOT(ISBLANK(N28)))</formula>
    </cfRule>
  </conditionalFormatting>
  <conditionalFormatting sqref="N28">
    <cfRule type="duplicateValues" priority="416" dxfId="1" stopIfTrue="1">
      <formula>AND(COUNTIF($N$28:$N$28,N28)&gt;1,NOT(ISBLANK(N28)))</formula>
    </cfRule>
  </conditionalFormatting>
  <conditionalFormatting sqref="N28">
    <cfRule type="duplicateValues" priority="415" dxfId="1" stopIfTrue="1">
      <formula>AND(COUNTIF($N$28:$N$28,N28)&gt;1,NOT(ISBLANK(N28)))</formula>
    </cfRule>
  </conditionalFormatting>
  <conditionalFormatting sqref="N28">
    <cfRule type="duplicateValues" priority="414" dxfId="1" stopIfTrue="1">
      <formula>AND(COUNTIF($N$28:$N$28,N28)&gt;1,NOT(ISBLANK(N28)))</formula>
    </cfRule>
  </conditionalFormatting>
  <conditionalFormatting sqref="N28">
    <cfRule type="duplicateValues" priority="413" dxfId="662" stopIfTrue="1">
      <formula>AND(COUNTIF($N$28:$N$28,N28)&gt;1,NOT(ISBLANK(N28)))</formula>
    </cfRule>
  </conditionalFormatting>
  <conditionalFormatting sqref="N28">
    <cfRule type="duplicateValues" priority="411" dxfId="662">
      <formula>AND(COUNTIF($N$28:$N$28,N28)&gt;1,NOT(ISBLANK(N28)))</formula>
    </cfRule>
    <cfRule type="duplicateValues" priority="412" dxfId="1" stopIfTrue="1">
      <formula>AND(COUNTIF($N$28:$N$28,N28)&gt;1,NOT(ISBLANK(N28)))</formula>
    </cfRule>
  </conditionalFormatting>
  <conditionalFormatting sqref="N28">
    <cfRule type="duplicateValues" priority="410" dxfId="1" stopIfTrue="1">
      <formula>AND(COUNTIF($N$28:$N$28,N28)&gt;1,NOT(ISBLANK(N28)))</formula>
    </cfRule>
  </conditionalFormatting>
  <conditionalFormatting sqref="N28">
    <cfRule type="duplicateValues" priority="409" dxfId="1" stopIfTrue="1">
      <formula>AND(COUNTIF($N$28:$N$28,N28)&gt;1,NOT(ISBLANK(N28)))</formula>
    </cfRule>
  </conditionalFormatting>
  <conditionalFormatting sqref="N28">
    <cfRule type="duplicateValues" priority="408" dxfId="1" stopIfTrue="1">
      <formula>AND(COUNTIF($N$28:$N$28,N28)&gt;1,NOT(ISBLANK(N28)))</formula>
    </cfRule>
  </conditionalFormatting>
  <conditionalFormatting sqref="N28">
    <cfRule type="duplicateValues" priority="407" dxfId="1" stopIfTrue="1">
      <formula>AND(COUNTIF($N$28:$N$28,N28)&gt;1,NOT(ISBLANK(N28)))</formula>
    </cfRule>
  </conditionalFormatting>
  <conditionalFormatting sqref="N28">
    <cfRule type="duplicateValues" priority="406" dxfId="1" stopIfTrue="1">
      <formula>AND(COUNTIF($N$28:$N$28,N28)&gt;1,NOT(ISBLANK(N28)))</formula>
    </cfRule>
  </conditionalFormatting>
  <conditionalFormatting sqref="N28">
    <cfRule type="duplicateValues" priority="405" dxfId="1" stopIfTrue="1">
      <formula>AND(COUNTIF($N$28:$N$28,N28)&gt;1,NOT(ISBLANK(N28)))</formula>
    </cfRule>
  </conditionalFormatting>
  <conditionalFormatting sqref="N28">
    <cfRule type="duplicateValues" priority="404" dxfId="662" stopIfTrue="1">
      <formula>AND(COUNTIF($N$28:$N$28,N28)&gt;1,NOT(ISBLANK(N28)))</formula>
    </cfRule>
  </conditionalFormatting>
  <conditionalFormatting sqref="N32">
    <cfRule type="duplicateValues" priority="403" dxfId="1" stopIfTrue="1">
      <formula>AND(COUNTIF($N$32:$N$32,N32)&gt;1,NOT(ISBLANK(N32)))</formula>
    </cfRule>
  </conditionalFormatting>
  <conditionalFormatting sqref="N32">
    <cfRule type="duplicateValues" priority="401" dxfId="662">
      <formula>AND(COUNTIF($N$32:$N$32,N32)&gt;1,NOT(ISBLANK(N32)))</formula>
    </cfRule>
    <cfRule type="duplicateValues" priority="402" dxfId="1" stopIfTrue="1">
      <formula>AND(COUNTIF($N$32:$N$32,N32)&gt;1,NOT(ISBLANK(N32)))</formula>
    </cfRule>
  </conditionalFormatting>
  <conditionalFormatting sqref="N32">
    <cfRule type="duplicateValues" priority="400" dxfId="1" stopIfTrue="1">
      <formula>AND(COUNTIF($N$32:$N$32,N32)&gt;1,NOT(ISBLANK(N32)))</formula>
    </cfRule>
  </conditionalFormatting>
  <conditionalFormatting sqref="N32">
    <cfRule type="duplicateValues" priority="399" dxfId="1" stopIfTrue="1">
      <formula>AND(COUNTIF($N$32:$N$32,N32)&gt;1,NOT(ISBLANK(N32)))</formula>
    </cfRule>
  </conditionalFormatting>
  <conditionalFormatting sqref="N32">
    <cfRule type="duplicateValues" priority="398" dxfId="1" stopIfTrue="1">
      <formula>AND(COUNTIF($N$32:$N$32,N32)&gt;1,NOT(ISBLANK(N32)))</formula>
    </cfRule>
  </conditionalFormatting>
  <conditionalFormatting sqref="N32">
    <cfRule type="duplicateValues" priority="397" dxfId="1" stopIfTrue="1">
      <formula>AND(COUNTIF($N$32:$N$32,N32)&gt;1,NOT(ISBLANK(N32)))</formula>
    </cfRule>
  </conditionalFormatting>
  <conditionalFormatting sqref="N32">
    <cfRule type="duplicateValues" priority="396" dxfId="1" stopIfTrue="1">
      <formula>AND(COUNTIF($N$32:$N$32,N32)&gt;1,NOT(ISBLANK(N32)))</formula>
    </cfRule>
  </conditionalFormatting>
  <conditionalFormatting sqref="N32">
    <cfRule type="duplicateValues" priority="395" dxfId="1" stopIfTrue="1">
      <formula>AND(COUNTIF($N$32:$N$32,N32)&gt;1,NOT(ISBLANK(N32)))</formula>
    </cfRule>
  </conditionalFormatting>
  <conditionalFormatting sqref="N32">
    <cfRule type="duplicateValues" priority="394" dxfId="662" stopIfTrue="1">
      <formula>AND(COUNTIF($N$32:$N$32,N32)&gt;1,NOT(ISBLANK(N32)))</formula>
    </cfRule>
  </conditionalFormatting>
  <conditionalFormatting sqref="N32">
    <cfRule type="duplicateValues" priority="392" dxfId="662">
      <formula>AND(COUNTIF($N$32:$N$32,N32)&gt;1,NOT(ISBLANK(N32)))</formula>
    </cfRule>
    <cfRule type="duplicateValues" priority="393" dxfId="1" stopIfTrue="1">
      <formula>AND(COUNTIF($N$32:$N$32,N32)&gt;1,NOT(ISBLANK(N32)))</formula>
    </cfRule>
  </conditionalFormatting>
  <conditionalFormatting sqref="N32">
    <cfRule type="duplicateValues" priority="391" dxfId="1" stopIfTrue="1">
      <formula>AND(COUNTIF($N$32:$N$32,N32)&gt;1,NOT(ISBLANK(N32)))</formula>
    </cfRule>
  </conditionalFormatting>
  <conditionalFormatting sqref="N32">
    <cfRule type="duplicateValues" priority="390" dxfId="1" stopIfTrue="1">
      <formula>AND(COUNTIF($N$32:$N$32,N32)&gt;1,NOT(ISBLANK(N32)))</formula>
    </cfRule>
  </conditionalFormatting>
  <conditionalFormatting sqref="N32">
    <cfRule type="duplicateValues" priority="389" dxfId="1" stopIfTrue="1">
      <formula>AND(COUNTIF($N$32:$N$32,N32)&gt;1,NOT(ISBLANK(N32)))</formula>
    </cfRule>
  </conditionalFormatting>
  <conditionalFormatting sqref="N32">
    <cfRule type="duplicateValues" priority="388" dxfId="1" stopIfTrue="1">
      <formula>AND(COUNTIF($N$32:$N$32,N32)&gt;1,NOT(ISBLANK(N32)))</formula>
    </cfRule>
  </conditionalFormatting>
  <conditionalFormatting sqref="N32">
    <cfRule type="duplicateValues" priority="387" dxfId="1" stopIfTrue="1">
      <formula>AND(COUNTIF($N$32:$N$32,N32)&gt;1,NOT(ISBLANK(N32)))</formula>
    </cfRule>
  </conditionalFormatting>
  <conditionalFormatting sqref="N32">
    <cfRule type="duplicateValues" priority="386" dxfId="1" stopIfTrue="1">
      <formula>AND(COUNTIF($N$32:$N$32,N32)&gt;1,NOT(ISBLANK(N32)))</formula>
    </cfRule>
  </conditionalFormatting>
  <conditionalFormatting sqref="N32">
    <cfRule type="duplicateValues" priority="385" dxfId="662" stopIfTrue="1">
      <formula>AND(COUNTIF($N$32:$N$32,N32)&gt;1,NOT(ISBLANK(N32)))</formula>
    </cfRule>
  </conditionalFormatting>
  <conditionalFormatting sqref="N36">
    <cfRule type="duplicateValues" priority="384" dxfId="1" stopIfTrue="1">
      <formula>AND(COUNTIF($N$36:$N$36,N36)&gt;1,NOT(ISBLANK(N36)))</formula>
    </cfRule>
  </conditionalFormatting>
  <conditionalFormatting sqref="N36">
    <cfRule type="duplicateValues" priority="382" dxfId="662">
      <formula>AND(COUNTIF($N$36:$N$36,N36)&gt;1,NOT(ISBLANK(N36)))</formula>
    </cfRule>
    <cfRule type="duplicateValues" priority="383" dxfId="1" stopIfTrue="1">
      <formula>AND(COUNTIF($N$36:$N$36,N36)&gt;1,NOT(ISBLANK(N36)))</formula>
    </cfRule>
  </conditionalFormatting>
  <conditionalFormatting sqref="N36">
    <cfRule type="duplicateValues" priority="381" dxfId="1" stopIfTrue="1">
      <formula>AND(COUNTIF($N$36:$N$36,N36)&gt;1,NOT(ISBLANK(N36)))</formula>
    </cfRule>
  </conditionalFormatting>
  <conditionalFormatting sqref="N36">
    <cfRule type="duplicateValues" priority="380" dxfId="1" stopIfTrue="1">
      <formula>AND(COUNTIF($N$36:$N$36,N36)&gt;1,NOT(ISBLANK(N36)))</formula>
    </cfRule>
  </conditionalFormatting>
  <conditionalFormatting sqref="N36">
    <cfRule type="duplicateValues" priority="379" dxfId="1" stopIfTrue="1">
      <formula>AND(COUNTIF($N$36:$N$36,N36)&gt;1,NOT(ISBLANK(N36)))</formula>
    </cfRule>
  </conditionalFormatting>
  <conditionalFormatting sqref="N36">
    <cfRule type="duplicateValues" priority="378" dxfId="1" stopIfTrue="1">
      <formula>AND(COUNTIF($N$36:$N$36,N36)&gt;1,NOT(ISBLANK(N36)))</formula>
    </cfRule>
  </conditionalFormatting>
  <conditionalFormatting sqref="N36">
    <cfRule type="duplicateValues" priority="377" dxfId="1" stopIfTrue="1">
      <formula>AND(COUNTIF($N$36:$N$36,N36)&gt;1,NOT(ISBLANK(N36)))</formula>
    </cfRule>
  </conditionalFormatting>
  <conditionalFormatting sqref="N36">
    <cfRule type="duplicateValues" priority="376" dxfId="1" stopIfTrue="1">
      <formula>AND(COUNTIF($N$36:$N$36,N36)&gt;1,NOT(ISBLANK(N36)))</formula>
    </cfRule>
  </conditionalFormatting>
  <conditionalFormatting sqref="N36">
    <cfRule type="duplicateValues" priority="375" dxfId="662" stopIfTrue="1">
      <formula>AND(COUNTIF($N$36:$N$36,N36)&gt;1,NOT(ISBLANK(N36)))</formula>
    </cfRule>
  </conditionalFormatting>
  <conditionalFormatting sqref="N36">
    <cfRule type="duplicateValues" priority="373" dxfId="662">
      <formula>AND(COUNTIF($N$36:$N$36,N36)&gt;1,NOT(ISBLANK(N36)))</formula>
    </cfRule>
    <cfRule type="duplicateValues" priority="374" dxfId="1" stopIfTrue="1">
      <formula>AND(COUNTIF($N$36:$N$36,N36)&gt;1,NOT(ISBLANK(N36)))</formula>
    </cfRule>
  </conditionalFormatting>
  <conditionalFormatting sqref="N36">
    <cfRule type="duplicateValues" priority="372" dxfId="1" stopIfTrue="1">
      <formula>AND(COUNTIF($N$36:$N$36,N36)&gt;1,NOT(ISBLANK(N36)))</formula>
    </cfRule>
  </conditionalFormatting>
  <conditionalFormatting sqref="N36">
    <cfRule type="duplicateValues" priority="371" dxfId="1" stopIfTrue="1">
      <formula>AND(COUNTIF($N$36:$N$36,N36)&gt;1,NOT(ISBLANK(N36)))</formula>
    </cfRule>
  </conditionalFormatting>
  <conditionalFormatting sqref="N36">
    <cfRule type="duplicateValues" priority="370" dxfId="1" stopIfTrue="1">
      <formula>AND(COUNTIF($N$36:$N$36,N36)&gt;1,NOT(ISBLANK(N36)))</formula>
    </cfRule>
  </conditionalFormatting>
  <conditionalFormatting sqref="N36">
    <cfRule type="duplicateValues" priority="369" dxfId="1" stopIfTrue="1">
      <formula>AND(COUNTIF($N$36:$N$36,N36)&gt;1,NOT(ISBLANK(N36)))</formula>
    </cfRule>
  </conditionalFormatting>
  <conditionalFormatting sqref="N36">
    <cfRule type="duplicateValues" priority="368" dxfId="1" stopIfTrue="1">
      <formula>AND(COUNTIF($N$36:$N$36,N36)&gt;1,NOT(ISBLANK(N36)))</formula>
    </cfRule>
  </conditionalFormatting>
  <conditionalFormatting sqref="N36">
    <cfRule type="duplicateValues" priority="367" dxfId="1" stopIfTrue="1">
      <formula>AND(COUNTIF($N$36:$N$36,N36)&gt;1,NOT(ISBLANK(N36)))</formula>
    </cfRule>
  </conditionalFormatting>
  <conditionalFormatting sqref="N36">
    <cfRule type="duplicateValues" priority="366" dxfId="662" stopIfTrue="1">
      <formula>AND(COUNTIF($N$36:$N$36,N36)&gt;1,NOT(ISBLANK(N36)))</formula>
    </cfRule>
  </conditionalFormatting>
  <conditionalFormatting sqref="N40">
    <cfRule type="duplicateValues" priority="365" dxfId="1" stopIfTrue="1">
      <formula>AND(COUNTIF($N$40:$N$40,N40)&gt;1,NOT(ISBLANK(N40)))</formula>
    </cfRule>
  </conditionalFormatting>
  <conditionalFormatting sqref="N40">
    <cfRule type="duplicateValues" priority="363" dxfId="662">
      <formula>AND(COUNTIF($N$40:$N$40,N40)&gt;1,NOT(ISBLANK(N40)))</formula>
    </cfRule>
    <cfRule type="duplicateValues" priority="364" dxfId="1" stopIfTrue="1">
      <formula>AND(COUNTIF($N$40:$N$40,N40)&gt;1,NOT(ISBLANK(N40)))</formula>
    </cfRule>
  </conditionalFormatting>
  <conditionalFormatting sqref="N40">
    <cfRule type="duplicateValues" priority="362" dxfId="1" stopIfTrue="1">
      <formula>AND(COUNTIF($N$40:$N$40,N40)&gt;1,NOT(ISBLANK(N40)))</formula>
    </cfRule>
  </conditionalFormatting>
  <conditionalFormatting sqref="N40">
    <cfRule type="duplicateValues" priority="361" dxfId="1" stopIfTrue="1">
      <formula>AND(COUNTIF($N$40:$N$40,N40)&gt;1,NOT(ISBLANK(N40)))</formula>
    </cfRule>
  </conditionalFormatting>
  <conditionalFormatting sqref="N40">
    <cfRule type="duplicateValues" priority="360" dxfId="1" stopIfTrue="1">
      <formula>AND(COUNTIF($N$40:$N$40,N40)&gt;1,NOT(ISBLANK(N40)))</formula>
    </cfRule>
  </conditionalFormatting>
  <conditionalFormatting sqref="N40">
    <cfRule type="duplicateValues" priority="359" dxfId="1" stopIfTrue="1">
      <formula>AND(COUNTIF($N$40:$N$40,N40)&gt;1,NOT(ISBLANK(N40)))</formula>
    </cfRule>
  </conditionalFormatting>
  <conditionalFormatting sqref="N40">
    <cfRule type="duplicateValues" priority="358" dxfId="1" stopIfTrue="1">
      <formula>AND(COUNTIF($N$40:$N$40,N40)&gt;1,NOT(ISBLANK(N40)))</formula>
    </cfRule>
  </conditionalFormatting>
  <conditionalFormatting sqref="N40">
    <cfRule type="duplicateValues" priority="357" dxfId="1" stopIfTrue="1">
      <formula>AND(COUNTIF($N$40:$N$40,N40)&gt;1,NOT(ISBLANK(N40)))</formula>
    </cfRule>
  </conditionalFormatting>
  <conditionalFormatting sqref="N40">
    <cfRule type="duplicateValues" priority="356" dxfId="662" stopIfTrue="1">
      <formula>AND(COUNTIF($N$40:$N$40,N40)&gt;1,NOT(ISBLANK(N40)))</formula>
    </cfRule>
  </conditionalFormatting>
  <conditionalFormatting sqref="N40">
    <cfRule type="duplicateValues" priority="354" dxfId="662">
      <formula>AND(COUNTIF($N$40:$N$40,N40)&gt;1,NOT(ISBLANK(N40)))</formula>
    </cfRule>
    <cfRule type="duplicateValues" priority="355" dxfId="1" stopIfTrue="1">
      <formula>AND(COUNTIF($N$40:$N$40,N40)&gt;1,NOT(ISBLANK(N40)))</formula>
    </cfRule>
  </conditionalFormatting>
  <conditionalFormatting sqref="N40">
    <cfRule type="duplicateValues" priority="353" dxfId="1" stopIfTrue="1">
      <formula>AND(COUNTIF($N$40:$N$40,N40)&gt;1,NOT(ISBLANK(N40)))</formula>
    </cfRule>
  </conditionalFormatting>
  <conditionalFormatting sqref="N40">
    <cfRule type="duplicateValues" priority="352" dxfId="1" stopIfTrue="1">
      <formula>AND(COUNTIF($N$40:$N$40,N40)&gt;1,NOT(ISBLANK(N40)))</formula>
    </cfRule>
  </conditionalFormatting>
  <conditionalFormatting sqref="N40">
    <cfRule type="duplicateValues" priority="351" dxfId="1" stopIfTrue="1">
      <formula>AND(COUNTIF($N$40:$N$40,N40)&gt;1,NOT(ISBLANK(N40)))</formula>
    </cfRule>
  </conditionalFormatting>
  <conditionalFormatting sqref="N40">
    <cfRule type="duplicateValues" priority="350" dxfId="1" stopIfTrue="1">
      <formula>AND(COUNTIF($N$40:$N$40,N40)&gt;1,NOT(ISBLANK(N40)))</formula>
    </cfRule>
  </conditionalFormatting>
  <conditionalFormatting sqref="N40">
    <cfRule type="duplicateValues" priority="349" dxfId="1" stopIfTrue="1">
      <formula>AND(COUNTIF($N$40:$N$40,N40)&gt;1,NOT(ISBLANK(N40)))</formula>
    </cfRule>
  </conditionalFormatting>
  <conditionalFormatting sqref="N40">
    <cfRule type="duplicateValues" priority="348" dxfId="1" stopIfTrue="1">
      <formula>AND(COUNTIF($N$40:$N$40,N40)&gt;1,NOT(ISBLANK(N40)))</formula>
    </cfRule>
  </conditionalFormatting>
  <conditionalFormatting sqref="N40">
    <cfRule type="duplicateValues" priority="347" dxfId="662" stopIfTrue="1">
      <formula>AND(COUNTIF($N$40:$N$40,N40)&gt;1,NOT(ISBLANK(N40)))</formula>
    </cfRule>
  </conditionalFormatting>
  <conditionalFormatting sqref="N44">
    <cfRule type="duplicateValues" priority="346" dxfId="1" stopIfTrue="1">
      <formula>AND(COUNTIF($N$44:$N$44,N44)&gt;1,NOT(ISBLANK(N44)))</formula>
    </cfRule>
  </conditionalFormatting>
  <conditionalFormatting sqref="N44">
    <cfRule type="duplicateValues" priority="344" dxfId="662">
      <formula>AND(COUNTIF($N$44:$N$44,N44)&gt;1,NOT(ISBLANK(N44)))</formula>
    </cfRule>
    <cfRule type="duplicateValues" priority="345" dxfId="1" stopIfTrue="1">
      <formula>AND(COUNTIF($N$44:$N$44,N44)&gt;1,NOT(ISBLANK(N44)))</formula>
    </cfRule>
  </conditionalFormatting>
  <conditionalFormatting sqref="N44">
    <cfRule type="duplicateValues" priority="343" dxfId="1" stopIfTrue="1">
      <formula>AND(COUNTIF($N$44:$N$44,N44)&gt;1,NOT(ISBLANK(N44)))</formula>
    </cfRule>
  </conditionalFormatting>
  <conditionalFormatting sqref="N44">
    <cfRule type="duplicateValues" priority="342" dxfId="1" stopIfTrue="1">
      <formula>AND(COUNTIF($N$44:$N$44,N44)&gt;1,NOT(ISBLANK(N44)))</formula>
    </cfRule>
  </conditionalFormatting>
  <conditionalFormatting sqref="N44">
    <cfRule type="duplicateValues" priority="341" dxfId="1" stopIfTrue="1">
      <formula>AND(COUNTIF($N$44:$N$44,N44)&gt;1,NOT(ISBLANK(N44)))</formula>
    </cfRule>
  </conditionalFormatting>
  <conditionalFormatting sqref="N44">
    <cfRule type="duplicateValues" priority="340" dxfId="1" stopIfTrue="1">
      <formula>AND(COUNTIF($N$44:$N$44,N44)&gt;1,NOT(ISBLANK(N44)))</formula>
    </cfRule>
  </conditionalFormatting>
  <conditionalFormatting sqref="N44">
    <cfRule type="duplicateValues" priority="339" dxfId="1" stopIfTrue="1">
      <formula>AND(COUNTIF($N$44:$N$44,N44)&gt;1,NOT(ISBLANK(N44)))</formula>
    </cfRule>
  </conditionalFormatting>
  <conditionalFormatting sqref="N44">
    <cfRule type="duplicateValues" priority="338" dxfId="1" stopIfTrue="1">
      <formula>AND(COUNTIF($N$44:$N$44,N44)&gt;1,NOT(ISBLANK(N44)))</formula>
    </cfRule>
  </conditionalFormatting>
  <conditionalFormatting sqref="N44">
    <cfRule type="duplicateValues" priority="337" dxfId="662" stopIfTrue="1">
      <formula>AND(COUNTIF($N$44:$N$44,N44)&gt;1,NOT(ISBLANK(N44)))</formula>
    </cfRule>
  </conditionalFormatting>
  <conditionalFormatting sqref="N44">
    <cfRule type="duplicateValues" priority="335" dxfId="662">
      <formula>AND(COUNTIF($N$44:$N$44,N44)&gt;1,NOT(ISBLANK(N44)))</formula>
    </cfRule>
    <cfRule type="duplicateValues" priority="336" dxfId="1" stopIfTrue="1">
      <formula>AND(COUNTIF($N$44:$N$44,N44)&gt;1,NOT(ISBLANK(N44)))</formula>
    </cfRule>
  </conditionalFormatting>
  <conditionalFormatting sqref="N44">
    <cfRule type="duplicateValues" priority="334" dxfId="1" stopIfTrue="1">
      <formula>AND(COUNTIF($N$44:$N$44,N44)&gt;1,NOT(ISBLANK(N44)))</formula>
    </cfRule>
  </conditionalFormatting>
  <conditionalFormatting sqref="N44">
    <cfRule type="duplicateValues" priority="333" dxfId="1" stopIfTrue="1">
      <formula>AND(COUNTIF($N$44:$N$44,N44)&gt;1,NOT(ISBLANK(N44)))</formula>
    </cfRule>
  </conditionalFormatting>
  <conditionalFormatting sqref="N44">
    <cfRule type="duplicateValues" priority="332" dxfId="1" stopIfTrue="1">
      <formula>AND(COUNTIF($N$44:$N$44,N44)&gt;1,NOT(ISBLANK(N44)))</formula>
    </cfRule>
  </conditionalFormatting>
  <conditionalFormatting sqref="N44">
    <cfRule type="duplicateValues" priority="331" dxfId="1" stopIfTrue="1">
      <formula>AND(COUNTIF($N$44:$N$44,N44)&gt;1,NOT(ISBLANK(N44)))</formula>
    </cfRule>
  </conditionalFormatting>
  <conditionalFormatting sqref="N44">
    <cfRule type="duplicateValues" priority="330" dxfId="1" stopIfTrue="1">
      <formula>AND(COUNTIF($N$44:$N$44,N44)&gt;1,NOT(ISBLANK(N44)))</formula>
    </cfRule>
  </conditionalFormatting>
  <conditionalFormatting sqref="N44">
    <cfRule type="duplicateValues" priority="329" dxfId="1" stopIfTrue="1">
      <formula>AND(COUNTIF($N$44:$N$44,N44)&gt;1,NOT(ISBLANK(N44)))</formula>
    </cfRule>
  </conditionalFormatting>
  <conditionalFormatting sqref="N44">
    <cfRule type="duplicateValues" priority="328" dxfId="662" stopIfTrue="1">
      <formula>AND(COUNTIF($N$44:$N$44,N44)&gt;1,NOT(ISBLANK(N44)))</formula>
    </cfRule>
  </conditionalFormatting>
  <conditionalFormatting sqref="N48">
    <cfRule type="duplicateValues" priority="327" dxfId="1" stopIfTrue="1">
      <formula>AND(COUNTIF($N$48:$N$48,N48)&gt;1,NOT(ISBLANK(N48)))</formula>
    </cfRule>
  </conditionalFormatting>
  <conditionalFormatting sqref="N48">
    <cfRule type="duplicateValues" priority="325" dxfId="662">
      <formula>AND(COUNTIF($N$48:$N$48,N48)&gt;1,NOT(ISBLANK(N48)))</formula>
    </cfRule>
    <cfRule type="duplicateValues" priority="326" dxfId="1" stopIfTrue="1">
      <formula>AND(COUNTIF($N$48:$N$48,N48)&gt;1,NOT(ISBLANK(N48)))</formula>
    </cfRule>
  </conditionalFormatting>
  <conditionalFormatting sqref="N48">
    <cfRule type="duplicateValues" priority="324" dxfId="1" stopIfTrue="1">
      <formula>AND(COUNTIF($N$48:$N$48,N48)&gt;1,NOT(ISBLANK(N48)))</formula>
    </cfRule>
  </conditionalFormatting>
  <conditionalFormatting sqref="N48">
    <cfRule type="duplicateValues" priority="323" dxfId="1" stopIfTrue="1">
      <formula>AND(COUNTIF($N$48:$N$48,N48)&gt;1,NOT(ISBLANK(N48)))</formula>
    </cfRule>
  </conditionalFormatting>
  <conditionalFormatting sqref="N48">
    <cfRule type="duplicateValues" priority="322" dxfId="1" stopIfTrue="1">
      <formula>AND(COUNTIF($N$48:$N$48,N48)&gt;1,NOT(ISBLANK(N48)))</formula>
    </cfRule>
  </conditionalFormatting>
  <conditionalFormatting sqref="N48">
    <cfRule type="duplicateValues" priority="321" dxfId="1" stopIfTrue="1">
      <formula>AND(COUNTIF($N$48:$N$48,N48)&gt;1,NOT(ISBLANK(N48)))</formula>
    </cfRule>
  </conditionalFormatting>
  <conditionalFormatting sqref="N48">
    <cfRule type="duplicateValues" priority="320" dxfId="1" stopIfTrue="1">
      <formula>AND(COUNTIF($N$48:$N$48,N48)&gt;1,NOT(ISBLANK(N48)))</formula>
    </cfRule>
  </conditionalFormatting>
  <conditionalFormatting sqref="N48">
    <cfRule type="duplicateValues" priority="319" dxfId="1" stopIfTrue="1">
      <formula>AND(COUNTIF($N$48:$N$48,N48)&gt;1,NOT(ISBLANK(N48)))</formula>
    </cfRule>
  </conditionalFormatting>
  <conditionalFormatting sqref="N48">
    <cfRule type="duplicateValues" priority="318" dxfId="662" stopIfTrue="1">
      <formula>AND(COUNTIF($N$48:$N$48,N48)&gt;1,NOT(ISBLANK(N48)))</formula>
    </cfRule>
  </conditionalFormatting>
  <conditionalFormatting sqref="N48">
    <cfRule type="duplicateValues" priority="316" dxfId="662">
      <formula>AND(COUNTIF($N$48:$N$48,N48)&gt;1,NOT(ISBLANK(N48)))</formula>
    </cfRule>
    <cfRule type="duplicateValues" priority="317" dxfId="1" stopIfTrue="1">
      <formula>AND(COUNTIF($N$48:$N$48,N48)&gt;1,NOT(ISBLANK(N48)))</formula>
    </cfRule>
  </conditionalFormatting>
  <conditionalFormatting sqref="N48">
    <cfRule type="duplicateValues" priority="315" dxfId="1" stopIfTrue="1">
      <formula>AND(COUNTIF($N$48:$N$48,N48)&gt;1,NOT(ISBLANK(N48)))</formula>
    </cfRule>
  </conditionalFormatting>
  <conditionalFormatting sqref="N48">
    <cfRule type="duplicateValues" priority="314" dxfId="1" stopIfTrue="1">
      <formula>AND(COUNTIF($N$48:$N$48,N48)&gt;1,NOT(ISBLANK(N48)))</formula>
    </cfRule>
  </conditionalFormatting>
  <conditionalFormatting sqref="N48">
    <cfRule type="duplicateValues" priority="313" dxfId="1" stopIfTrue="1">
      <formula>AND(COUNTIF($N$48:$N$48,N48)&gt;1,NOT(ISBLANK(N48)))</formula>
    </cfRule>
  </conditionalFormatting>
  <conditionalFormatting sqref="N48">
    <cfRule type="duplicateValues" priority="312" dxfId="1" stopIfTrue="1">
      <formula>AND(COUNTIF($N$48:$N$48,N48)&gt;1,NOT(ISBLANK(N48)))</formula>
    </cfRule>
  </conditionalFormatting>
  <conditionalFormatting sqref="N48">
    <cfRule type="duplicateValues" priority="311" dxfId="1" stopIfTrue="1">
      <formula>AND(COUNTIF($N$48:$N$48,N48)&gt;1,NOT(ISBLANK(N48)))</formula>
    </cfRule>
  </conditionalFormatting>
  <conditionalFormatting sqref="N48">
    <cfRule type="duplicateValues" priority="310" dxfId="1" stopIfTrue="1">
      <formula>AND(COUNTIF($N$48:$N$48,N48)&gt;1,NOT(ISBLANK(N48)))</formula>
    </cfRule>
  </conditionalFormatting>
  <conditionalFormatting sqref="N48">
    <cfRule type="duplicateValues" priority="309" dxfId="662" stopIfTrue="1">
      <formula>AND(COUNTIF($N$48:$N$48,N48)&gt;1,NOT(ISBLANK(N48)))</formula>
    </cfRule>
  </conditionalFormatting>
  <conditionalFormatting sqref="N52">
    <cfRule type="duplicateValues" priority="308" dxfId="1" stopIfTrue="1">
      <formula>AND(COUNTIF($N$52:$N$52,N52)&gt;1,NOT(ISBLANK(N52)))</formula>
    </cfRule>
  </conditionalFormatting>
  <conditionalFormatting sqref="N52">
    <cfRule type="duplicateValues" priority="306" dxfId="662">
      <formula>AND(COUNTIF($N$52:$N$52,N52)&gt;1,NOT(ISBLANK(N52)))</formula>
    </cfRule>
    <cfRule type="duplicateValues" priority="307" dxfId="1" stopIfTrue="1">
      <formula>AND(COUNTIF($N$52:$N$52,N52)&gt;1,NOT(ISBLANK(N52)))</formula>
    </cfRule>
  </conditionalFormatting>
  <conditionalFormatting sqref="N52">
    <cfRule type="duplicateValues" priority="305" dxfId="1" stopIfTrue="1">
      <formula>AND(COUNTIF($N$52:$N$52,N52)&gt;1,NOT(ISBLANK(N52)))</formula>
    </cfRule>
  </conditionalFormatting>
  <conditionalFormatting sqref="N52">
    <cfRule type="duplicateValues" priority="304" dxfId="1" stopIfTrue="1">
      <formula>AND(COUNTIF($N$52:$N$52,N52)&gt;1,NOT(ISBLANK(N52)))</formula>
    </cfRule>
  </conditionalFormatting>
  <conditionalFormatting sqref="N52">
    <cfRule type="duplicateValues" priority="303" dxfId="1" stopIfTrue="1">
      <formula>AND(COUNTIF($N$52:$N$52,N52)&gt;1,NOT(ISBLANK(N52)))</formula>
    </cfRule>
  </conditionalFormatting>
  <conditionalFormatting sqref="N52">
    <cfRule type="duplicateValues" priority="302" dxfId="1" stopIfTrue="1">
      <formula>AND(COUNTIF($N$52:$N$52,N52)&gt;1,NOT(ISBLANK(N52)))</formula>
    </cfRule>
  </conditionalFormatting>
  <conditionalFormatting sqref="N52">
    <cfRule type="duplicateValues" priority="301" dxfId="1" stopIfTrue="1">
      <formula>AND(COUNTIF($N$52:$N$52,N52)&gt;1,NOT(ISBLANK(N52)))</formula>
    </cfRule>
  </conditionalFormatting>
  <conditionalFormatting sqref="N52">
    <cfRule type="duplicateValues" priority="300" dxfId="1" stopIfTrue="1">
      <formula>AND(COUNTIF($N$52:$N$52,N52)&gt;1,NOT(ISBLANK(N52)))</formula>
    </cfRule>
  </conditionalFormatting>
  <conditionalFormatting sqref="N52">
    <cfRule type="duplicateValues" priority="299" dxfId="662" stopIfTrue="1">
      <formula>AND(COUNTIF($N$52:$N$52,N52)&gt;1,NOT(ISBLANK(N52)))</formula>
    </cfRule>
  </conditionalFormatting>
  <conditionalFormatting sqref="N52">
    <cfRule type="duplicateValues" priority="297" dxfId="662">
      <formula>AND(COUNTIF($N$52:$N$52,N52)&gt;1,NOT(ISBLANK(N52)))</formula>
    </cfRule>
    <cfRule type="duplicateValues" priority="298" dxfId="1" stopIfTrue="1">
      <formula>AND(COUNTIF($N$52:$N$52,N52)&gt;1,NOT(ISBLANK(N52)))</formula>
    </cfRule>
  </conditionalFormatting>
  <conditionalFormatting sqref="N52">
    <cfRule type="duplicateValues" priority="296" dxfId="1" stopIfTrue="1">
      <formula>AND(COUNTIF($N$52:$N$52,N52)&gt;1,NOT(ISBLANK(N52)))</formula>
    </cfRule>
  </conditionalFormatting>
  <conditionalFormatting sqref="N52">
    <cfRule type="duplicateValues" priority="295" dxfId="1" stopIfTrue="1">
      <formula>AND(COUNTIF($N$52:$N$52,N52)&gt;1,NOT(ISBLANK(N52)))</formula>
    </cfRule>
  </conditionalFormatting>
  <conditionalFormatting sqref="N52">
    <cfRule type="duplicateValues" priority="294" dxfId="1" stopIfTrue="1">
      <formula>AND(COUNTIF($N$52:$N$52,N52)&gt;1,NOT(ISBLANK(N52)))</formula>
    </cfRule>
  </conditionalFormatting>
  <conditionalFormatting sqref="N52">
    <cfRule type="duplicateValues" priority="293" dxfId="1" stopIfTrue="1">
      <formula>AND(COUNTIF($N$52:$N$52,N52)&gt;1,NOT(ISBLANK(N52)))</formula>
    </cfRule>
  </conditionalFormatting>
  <conditionalFormatting sqref="N52">
    <cfRule type="duplicateValues" priority="292" dxfId="1" stopIfTrue="1">
      <formula>AND(COUNTIF($N$52:$N$52,N52)&gt;1,NOT(ISBLANK(N52)))</formula>
    </cfRule>
  </conditionalFormatting>
  <conditionalFormatting sqref="N52">
    <cfRule type="duplicateValues" priority="291" dxfId="1" stopIfTrue="1">
      <formula>AND(COUNTIF($N$52:$N$52,N52)&gt;1,NOT(ISBLANK(N52)))</formula>
    </cfRule>
  </conditionalFormatting>
  <conditionalFormatting sqref="N52">
    <cfRule type="duplicateValues" priority="290" dxfId="662" stopIfTrue="1">
      <formula>AND(COUNTIF($N$52:$N$52,N52)&gt;1,NOT(ISBLANK(N52)))</formula>
    </cfRule>
  </conditionalFormatting>
  <conditionalFormatting sqref="N56">
    <cfRule type="duplicateValues" priority="289" dxfId="1" stopIfTrue="1">
      <formula>AND(COUNTIF($N$56:$N$56,N56)&gt;1,NOT(ISBLANK(N56)))</formula>
    </cfRule>
  </conditionalFormatting>
  <conditionalFormatting sqref="N56">
    <cfRule type="duplicateValues" priority="287" dxfId="662">
      <formula>AND(COUNTIF($N$56:$N$56,N56)&gt;1,NOT(ISBLANK(N56)))</formula>
    </cfRule>
    <cfRule type="duplicateValues" priority="288" dxfId="1" stopIfTrue="1">
      <formula>AND(COUNTIF($N$56:$N$56,N56)&gt;1,NOT(ISBLANK(N56)))</formula>
    </cfRule>
  </conditionalFormatting>
  <conditionalFormatting sqref="N56">
    <cfRule type="duplicateValues" priority="286" dxfId="1" stopIfTrue="1">
      <formula>AND(COUNTIF($N$56:$N$56,N56)&gt;1,NOT(ISBLANK(N56)))</formula>
    </cfRule>
  </conditionalFormatting>
  <conditionalFormatting sqref="N56">
    <cfRule type="duplicateValues" priority="285" dxfId="1" stopIfTrue="1">
      <formula>AND(COUNTIF($N$56:$N$56,N56)&gt;1,NOT(ISBLANK(N56)))</formula>
    </cfRule>
  </conditionalFormatting>
  <conditionalFormatting sqref="N56">
    <cfRule type="duplicateValues" priority="284" dxfId="1" stopIfTrue="1">
      <formula>AND(COUNTIF($N$56:$N$56,N56)&gt;1,NOT(ISBLANK(N56)))</formula>
    </cfRule>
  </conditionalFormatting>
  <conditionalFormatting sqref="N56">
    <cfRule type="duplicateValues" priority="283" dxfId="1" stopIfTrue="1">
      <formula>AND(COUNTIF($N$56:$N$56,N56)&gt;1,NOT(ISBLANK(N56)))</formula>
    </cfRule>
  </conditionalFormatting>
  <conditionalFormatting sqref="N56">
    <cfRule type="duplicateValues" priority="282" dxfId="1" stopIfTrue="1">
      <formula>AND(COUNTIF($N$56:$N$56,N56)&gt;1,NOT(ISBLANK(N56)))</formula>
    </cfRule>
  </conditionalFormatting>
  <conditionalFormatting sqref="N56">
    <cfRule type="duplicateValues" priority="281" dxfId="1" stopIfTrue="1">
      <formula>AND(COUNTIF($N$56:$N$56,N56)&gt;1,NOT(ISBLANK(N56)))</formula>
    </cfRule>
  </conditionalFormatting>
  <conditionalFormatting sqref="N56">
    <cfRule type="duplicateValues" priority="280" dxfId="662" stopIfTrue="1">
      <formula>AND(COUNTIF($N$56:$N$56,N56)&gt;1,NOT(ISBLANK(N56)))</formula>
    </cfRule>
  </conditionalFormatting>
  <conditionalFormatting sqref="N56">
    <cfRule type="duplicateValues" priority="278" dxfId="662">
      <formula>AND(COUNTIF($N$56:$N$56,N56)&gt;1,NOT(ISBLANK(N56)))</formula>
    </cfRule>
    <cfRule type="duplicateValues" priority="279" dxfId="1" stopIfTrue="1">
      <formula>AND(COUNTIF($N$56:$N$56,N56)&gt;1,NOT(ISBLANK(N56)))</formula>
    </cfRule>
  </conditionalFormatting>
  <conditionalFormatting sqref="N56">
    <cfRule type="duplicateValues" priority="277" dxfId="1" stopIfTrue="1">
      <formula>AND(COUNTIF($N$56:$N$56,N56)&gt;1,NOT(ISBLANK(N56)))</formula>
    </cfRule>
  </conditionalFormatting>
  <conditionalFormatting sqref="N56">
    <cfRule type="duplicateValues" priority="276" dxfId="1" stopIfTrue="1">
      <formula>AND(COUNTIF($N$56:$N$56,N56)&gt;1,NOT(ISBLANK(N56)))</formula>
    </cfRule>
  </conditionalFormatting>
  <conditionalFormatting sqref="N56">
    <cfRule type="duplicateValues" priority="275" dxfId="1" stopIfTrue="1">
      <formula>AND(COUNTIF($N$56:$N$56,N56)&gt;1,NOT(ISBLANK(N56)))</formula>
    </cfRule>
  </conditionalFormatting>
  <conditionalFormatting sqref="N56">
    <cfRule type="duplicateValues" priority="274" dxfId="1" stopIfTrue="1">
      <formula>AND(COUNTIF($N$56:$N$56,N56)&gt;1,NOT(ISBLANK(N56)))</formula>
    </cfRule>
  </conditionalFormatting>
  <conditionalFormatting sqref="N56">
    <cfRule type="duplicateValues" priority="273" dxfId="1" stopIfTrue="1">
      <formula>AND(COUNTIF($N$56:$N$56,N56)&gt;1,NOT(ISBLANK(N56)))</formula>
    </cfRule>
  </conditionalFormatting>
  <conditionalFormatting sqref="N56">
    <cfRule type="duplicateValues" priority="272" dxfId="1" stopIfTrue="1">
      <formula>AND(COUNTIF($N$56:$N$56,N56)&gt;1,NOT(ISBLANK(N56)))</formula>
    </cfRule>
  </conditionalFormatting>
  <conditionalFormatting sqref="N56">
    <cfRule type="duplicateValues" priority="271" dxfId="662" stopIfTrue="1">
      <formula>AND(COUNTIF($N$56:$N$56,N56)&gt;1,NOT(ISBLANK(N56)))</formula>
    </cfRule>
  </conditionalFormatting>
  <conditionalFormatting sqref="N60">
    <cfRule type="duplicateValues" priority="270" dxfId="1" stopIfTrue="1">
      <formula>AND(COUNTIF($N$60:$N$60,N60)&gt;1,NOT(ISBLANK(N60)))</formula>
    </cfRule>
  </conditionalFormatting>
  <conditionalFormatting sqref="N60">
    <cfRule type="duplicateValues" priority="268" dxfId="662">
      <formula>AND(COUNTIF($N$60:$N$60,N60)&gt;1,NOT(ISBLANK(N60)))</formula>
    </cfRule>
    <cfRule type="duplicateValues" priority="269" dxfId="1" stopIfTrue="1">
      <formula>AND(COUNTIF($N$60:$N$60,N60)&gt;1,NOT(ISBLANK(N60)))</formula>
    </cfRule>
  </conditionalFormatting>
  <conditionalFormatting sqref="N60">
    <cfRule type="duplicateValues" priority="267" dxfId="1" stopIfTrue="1">
      <formula>AND(COUNTIF($N$60:$N$60,N60)&gt;1,NOT(ISBLANK(N60)))</formula>
    </cfRule>
  </conditionalFormatting>
  <conditionalFormatting sqref="N60">
    <cfRule type="duplicateValues" priority="266" dxfId="1" stopIfTrue="1">
      <formula>AND(COUNTIF($N$60:$N$60,N60)&gt;1,NOT(ISBLANK(N60)))</formula>
    </cfRule>
  </conditionalFormatting>
  <conditionalFormatting sqref="N60">
    <cfRule type="duplicateValues" priority="265" dxfId="1" stopIfTrue="1">
      <formula>AND(COUNTIF($N$60:$N$60,N60)&gt;1,NOT(ISBLANK(N60)))</formula>
    </cfRule>
  </conditionalFormatting>
  <conditionalFormatting sqref="N60">
    <cfRule type="duplicateValues" priority="264" dxfId="1" stopIfTrue="1">
      <formula>AND(COUNTIF($N$60:$N$60,N60)&gt;1,NOT(ISBLANK(N60)))</formula>
    </cfRule>
  </conditionalFormatting>
  <conditionalFormatting sqref="N60">
    <cfRule type="duplicateValues" priority="263" dxfId="1" stopIfTrue="1">
      <formula>AND(COUNTIF($N$60:$N$60,N60)&gt;1,NOT(ISBLANK(N60)))</formula>
    </cfRule>
  </conditionalFormatting>
  <conditionalFormatting sqref="N60">
    <cfRule type="duplicateValues" priority="262" dxfId="1" stopIfTrue="1">
      <formula>AND(COUNTIF($N$60:$N$60,N60)&gt;1,NOT(ISBLANK(N60)))</formula>
    </cfRule>
  </conditionalFormatting>
  <conditionalFormatting sqref="N60">
    <cfRule type="duplicateValues" priority="261" dxfId="662" stopIfTrue="1">
      <formula>AND(COUNTIF($N$60:$N$60,N60)&gt;1,NOT(ISBLANK(N60)))</formula>
    </cfRule>
  </conditionalFormatting>
  <conditionalFormatting sqref="N60">
    <cfRule type="duplicateValues" priority="259" dxfId="662">
      <formula>AND(COUNTIF($N$60:$N$60,N60)&gt;1,NOT(ISBLANK(N60)))</formula>
    </cfRule>
    <cfRule type="duplicateValues" priority="260" dxfId="1" stopIfTrue="1">
      <formula>AND(COUNTIF($N$60:$N$60,N60)&gt;1,NOT(ISBLANK(N60)))</formula>
    </cfRule>
  </conditionalFormatting>
  <conditionalFormatting sqref="N60">
    <cfRule type="duplicateValues" priority="258" dxfId="1" stopIfTrue="1">
      <formula>AND(COUNTIF($N$60:$N$60,N60)&gt;1,NOT(ISBLANK(N60)))</formula>
    </cfRule>
  </conditionalFormatting>
  <conditionalFormatting sqref="N60">
    <cfRule type="duplicateValues" priority="257" dxfId="1" stopIfTrue="1">
      <formula>AND(COUNTIF($N$60:$N$60,N60)&gt;1,NOT(ISBLANK(N60)))</formula>
    </cfRule>
  </conditionalFormatting>
  <conditionalFormatting sqref="N60">
    <cfRule type="duplicateValues" priority="256" dxfId="1" stopIfTrue="1">
      <formula>AND(COUNTIF($N$60:$N$60,N60)&gt;1,NOT(ISBLANK(N60)))</formula>
    </cfRule>
  </conditionalFormatting>
  <conditionalFormatting sqref="N60">
    <cfRule type="duplicateValues" priority="255" dxfId="1" stopIfTrue="1">
      <formula>AND(COUNTIF($N$60:$N$60,N60)&gt;1,NOT(ISBLANK(N60)))</formula>
    </cfRule>
  </conditionalFormatting>
  <conditionalFormatting sqref="N60">
    <cfRule type="duplicateValues" priority="254" dxfId="1" stopIfTrue="1">
      <formula>AND(COUNTIF($N$60:$N$60,N60)&gt;1,NOT(ISBLANK(N60)))</formula>
    </cfRule>
  </conditionalFormatting>
  <conditionalFormatting sqref="N60">
    <cfRule type="duplicateValues" priority="253" dxfId="1" stopIfTrue="1">
      <formula>AND(COUNTIF($N$60:$N$60,N60)&gt;1,NOT(ISBLANK(N60)))</formula>
    </cfRule>
  </conditionalFormatting>
  <conditionalFormatting sqref="N60">
    <cfRule type="duplicateValues" priority="252" dxfId="662" stopIfTrue="1">
      <formula>AND(COUNTIF($N$60:$N$60,N60)&gt;1,NOT(ISBLANK(N60)))</formula>
    </cfRule>
  </conditionalFormatting>
  <conditionalFormatting sqref="N64">
    <cfRule type="duplicateValues" priority="251" dxfId="1" stopIfTrue="1">
      <formula>AND(COUNTIF($N$64:$N$64,N64)&gt;1,NOT(ISBLANK(N64)))</formula>
    </cfRule>
  </conditionalFormatting>
  <conditionalFormatting sqref="N64">
    <cfRule type="duplicateValues" priority="249" dxfId="662">
      <formula>AND(COUNTIF($N$64:$N$64,N64)&gt;1,NOT(ISBLANK(N64)))</formula>
    </cfRule>
    <cfRule type="duplicateValues" priority="250" dxfId="1" stopIfTrue="1">
      <formula>AND(COUNTIF($N$64:$N$64,N64)&gt;1,NOT(ISBLANK(N64)))</formula>
    </cfRule>
  </conditionalFormatting>
  <conditionalFormatting sqref="N64">
    <cfRule type="duplicateValues" priority="248" dxfId="1" stopIfTrue="1">
      <formula>AND(COUNTIF($N$64:$N$64,N64)&gt;1,NOT(ISBLANK(N64)))</formula>
    </cfRule>
  </conditionalFormatting>
  <conditionalFormatting sqref="N64">
    <cfRule type="duplicateValues" priority="247" dxfId="1" stopIfTrue="1">
      <formula>AND(COUNTIF($N$64:$N$64,N64)&gt;1,NOT(ISBLANK(N64)))</formula>
    </cfRule>
  </conditionalFormatting>
  <conditionalFormatting sqref="N64">
    <cfRule type="duplicateValues" priority="246" dxfId="1" stopIfTrue="1">
      <formula>AND(COUNTIF($N$64:$N$64,N64)&gt;1,NOT(ISBLANK(N64)))</formula>
    </cfRule>
  </conditionalFormatting>
  <conditionalFormatting sqref="N64">
    <cfRule type="duplicateValues" priority="245" dxfId="1" stopIfTrue="1">
      <formula>AND(COUNTIF($N$64:$N$64,N64)&gt;1,NOT(ISBLANK(N64)))</formula>
    </cfRule>
  </conditionalFormatting>
  <conditionalFormatting sqref="N64">
    <cfRule type="duplicateValues" priority="244" dxfId="1" stopIfTrue="1">
      <formula>AND(COUNTIF($N$64:$N$64,N64)&gt;1,NOT(ISBLANK(N64)))</formula>
    </cfRule>
  </conditionalFormatting>
  <conditionalFormatting sqref="N64">
    <cfRule type="duplicateValues" priority="243" dxfId="1" stopIfTrue="1">
      <formula>AND(COUNTIF($N$64:$N$64,N64)&gt;1,NOT(ISBLANK(N64)))</formula>
    </cfRule>
  </conditionalFormatting>
  <conditionalFormatting sqref="N64">
    <cfRule type="duplicateValues" priority="242" dxfId="662" stopIfTrue="1">
      <formula>AND(COUNTIF($N$64:$N$64,N64)&gt;1,NOT(ISBLANK(N64)))</formula>
    </cfRule>
  </conditionalFormatting>
  <conditionalFormatting sqref="N64">
    <cfRule type="duplicateValues" priority="240" dxfId="662">
      <formula>AND(COUNTIF($N$64:$N$64,N64)&gt;1,NOT(ISBLANK(N64)))</formula>
    </cfRule>
    <cfRule type="duplicateValues" priority="241" dxfId="1" stopIfTrue="1">
      <formula>AND(COUNTIF($N$64:$N$64,N64)&gt;1,NOT(ISBLANK(N64)))</formula>
    </cfRule>
  </conditionalFormatting>
  <conditionalFormatting sqref="N64">
    <cfRule type="duplicateValues" priority="239" dxfId="1" stopIfTrue="1">
      <formula>AND(COUNTIF($N$64:$N$64,N64)&gt;1,NOT(ISBLANK(N64)))</formula>
    </cfRule>
  </conditionalFormatting>
  <conditionalFormatting sqref="N64">
    <cfRule type="duplicateValues" priority="238" dxfId="1" stopIfTrue="1">
      <formula>AND(COUNTIF($N$64:$N$64,N64)&gt;1,NOT(ISBLANK(N64)))</formula>
    </cfRule>
  </conditionalFormatting>
  <conditionalFormatting sqref="N64">
    <cfRule type="duplicateValues" priority="237" dxfId="1" stopIfTrue="1">
      <formula>AND(COUNTIF($N$64:$N$64,N64)&gt;1,NOT(ISBLANK(N64)))</formula>
    </cfRule>
  </conditionalFormatting>
  <conditionalFormatting sqref="N64">
    <cfRule type="duplicateValues" priority="236" dxfId="1" stopIfTrue="1">
      <formula>AND(COUNTIF($N$64:$N$64,N64)&gt;1,NOT(ISBLANK(N64)))</formula>
    </cfRule>
  </conditionalFormatting>
  <conditionalFormatting sqref="N64">
    <cfRule type="duplicateValues" priority="235" dxfId="1" stopIfTrue="1">
      <formula>AND(COUNTIF($N$64:$N$64,N64)&gt;1,NOT(ISBLANK(N64)))</formula>
    </cfRule>
  </conditionalFormatting>
  <conditionalFormatting sqref="N64">
    <cfRule type="duplicateValues" priority="234" dxfId="1" stopIfTrue="1">
      <formula>AND(COUNTIF($N$64:$N$64,N64)&gt;1,NOT(ISBLANK(N64)))</formula>
    </cfRule>
  </conditionalFormatting>
  <conditionalFormatting sqref="N64">
    <cfRule type="duplicateValues" priority="233" dxfId="662" stopIfTrue="1">
      <formula>AND(COUNTIF($N$64:$N$64,N64)&gt;1,NOT(ISBLANK(N64)))</formula>
    </cfRule>
  </conditionalFormatting>
  <conditionalFormatting sqref="N68">
    <cfRule type="duplicateValues" priority="232" dxfId="1" stopIfTrue="1">
      <formula>AND(COUNTIF($N$68:$N$68,N68)&gt;1,NOT(ISBLANK(N68)))</formula>
    </cfRule>
  </conditionalFormatting>
  <conditionalFormatting sqref="N68">
    <cfRule type="duplicateValues" priority="230" dxfId="662">
      <formula>AND(COUNTIF($N$68:$N$68,N68)&gt;1,NOT(ISBLANK(N68)))</formula>
    </cfRule>
    <cfRule type="duplicateValues" priority="231" dxfId="1" stopIfTrue="1">
      <formula>AND(COUNTIF($N$68:$N$68,N68)&gt;1,NOT(ISBLANK(N68)))</formula>
    </cfRule>
  </conditionalFormatting>
  <conditionalFormatting sqref="N68">
    <cfRule type="duplicateValues" priority="229" dxfId="1" stopIfTrue="1">
      <formula>AND(COUNTIF($N$68:$N$68,N68)&gt;1,NOT(ISBLANK(N68)))</formula>
    </cfRule>
  </conditionalFormatting>
  <conditionalFormatting sqref="N68">
    <cfRule type="duplicateValues" priority="228" dxfId="1" stopIfTrue="1">
      <formula>AND(COUNTIF($N$68:$N$68,N68)&gt;1,NOT(ISBLANK(N68)))</formula>
    </cfRule>
  </conditionalFormatting>
  <conditionalFormatting sqref="N68">
    <cfRule type="duplicateValues" priority="227" dxfId="1" stopIfTrue="1">
      <formula>AND(COUNTIF($N$68:$N$68,N68)&gt;1,NOT(ISBLANK(N68)))</formula>
    </cfRule>
  </conditionalFormatting>
  <conditionalFormatting sqref="N68">
    <cfRule type="duplicateValues" priority="226" dxfId="1" stopIfTrue="1">
      <formula>AND(COUNTIF($N$68:$N$68,N68)&gt;1,NOT(ISBLANK(N68)))</formula>
    </cfRule>
  </conditionalFormatting>
  <conditionalFormatting sqref="N68">
    <cfRule type="duplicateValues" priority="225" dxfId="1" stopIfTrue="1">
      <formula>AND(COUNTIF($N$68:$N$68,N68)&gt;1,NOT(ISBLANK(N68)))</formula>
    </cfRule>
  </conditionalFormatting>
  <conditionalFormatting sqref="N68">
    <cfRule type="duplicateValues" priority="224" dxfId="1" stopIfTrue="1">
      <formula>AND(COUNTIF($N$68:$N$68,N68)&gt;1,NOT(ISBLANK(N68)))</formula>
    </cfRule>
  </conditionalFormatting>
  <conditionalFormatting sqref="N68">
    <cfRule type="duplicateValues" priority="223" dxfId="662" stopIfTrue="1">
      <formula>AND(COUNTIF($N$68:$N$68,N68)&gt;1,NOT(ISBLANK(N68)))</formula>
    </cfRule>
  </conditionalFormatting>
  <conditionalFormatting sqref="N68">
    <cfRule type="duplicateValues" priority="221" dxfId="662">
      <formula>AND(COUNTIF($N$68:$N$68,N68)&gt;1,NOT(ISBLANK(N68)))</formula>
    </cfRule>
    <cfRule type="duplicateValues" priority="222" dxfId="1" stopIfTrue="1">
      <formula>AND(COUNTIF($N$68:$N$68,N68)&gt;1,NOT(ISBLANK(N68)))</formula>
    </cfRule>
  </conditionalFormatting>
  <conditionalFormatting sqref="N68">
    <cfRule type="duplicateValues" priority="220" dxfId="1" stopIfTrue="1">
      <formula>AND(COUNTIF($N$68:$N$68,N68)&gt;1,NOT(ISBLANK(N68)))</formula>
    </cfRule>
  </conditionalFormatting>
  <conditionalFormatting sqref="N68">
    <cfRule type="duplicateValues" priority="219" dxfId="1" stopIfTrue="1">
      <formula>AND(COUNTIF($N$68:$N$68,N68)&gt;1,NOT(ISBLANK(N68)))</formula>
    </cfRule>
  </conditionalFormatting>
  <conditionalFormatting sqref="N68">
    <cfRule type="duplicateValues" priority="218" dxfId="1" stopIfTrue="1">
      <formula>AND(COUNTIF($N$68:$N$68,N68)&gt;1,NOT(ISBLANK(N68)))</formula>
    </cfRule>
  </conditionalFormatting>
  <conditionalFormatting sqref="N68">
    <cfRule type="duplicateValues" priority="217" dxfId="1" stopIfTrue="1">
      <formula>AND(COUNTIF($N$68:$N$68,N68)&gt;1,NOT(ISBLANK(N68)))</formula>
    </cfRule>
  </conditionalFormatting>
  <conditionalFormatting sqref="N68">
    <cfRule type="duplicateValues" priority="216" dxfId="1" stopIfTrue="1">
      <formula>AND(COUNTIF($N$68:$N$68,N68)&gt;1,NOT(ISBLANK(N68)))</formula>
    </cfRule>
  </conditionalFormatting>
  <conditionalFormatting sqref="N68">
    <cfRule type="duplicateValues" priority="215" dxfId="1" stopIfTrue="1">
      <formula>AND(COUNTIF($N$68:$N$68,N68)&gt;1,NOT(ISBLANK(N68)))</formula>
    </cfRule>
  </conditionalFormatting>
  <conditionalFormatting sqref="N68">
    <cfRule type="duplicateValues" priority="214" dxfId="662" stopIfTrue="1">
      <formula>AND(COUNTIF($N$68:$N$68,N68)&gt;1,NOT(ISBLANK(N68)))</formula>
    </cfRule>
  </conditionalFormatting>
  <conditionalFormatting sqref="N72">
    <cfRule type="duplicateValues" priority="213" dxfId="1" stopIfTrue="1">
      <formula>AND(COUNTIF($N$72:$N$72,N72)&gt;1,NOT(ISBLANK(N72)))</formula>
    </cfRule>
  </conditionalFormatting>
  <conditionalFormatting sqref="N72">
    <cfRule type="duplicateValues" priority="211" dxfId="662">
      <formula>AND(COUNTIF($N$72:$N$72,N72)&gt;1,NOT(ISBLANK(N72)))</formula>
    </cfRule>
    <cfRule type="duplicateValues" priority="212" dxfId="1" stopIfTrue="1">
      <formula>AND(COUNTIF($N$72:$N$72,N72)&gt;1,NOT(ISBLANK(N72)))</formula>
    </cfRule>
  </conditionalFormatting>
  <conditionalFormatting sqref="N72">
    <cfRule type="duplicateValues" priority="210" dxfId="1" stopIfTrue="1">
      <formula>AND(COUNTIF($N$72:$N$72,N72)&gt;1,NOT(ISBLANK(N72)))</formula>
    </cfRule>
  </conditionalFormatting>
  <conditionalFormatting sqref="N72">
    <cfRule type="duplicateValues" priority="209" dxfId="1" stopIfTrue="1">
      <formula>AND(COUNTIF($N$72:$N$72,N72)&gt;1,NOT(ISBLANK(N72)))</formula>
    </cfRule>
  </conditionalFormatting>
  <conditionalFormatting sqref="N72">
    <cfRule type="duplicateValues" priority="208" dxfId="1" stopIfTrue="1">
      <formula>AND(COUNTIF($N$72:$N$72,N72)&gt;1,NOT(ISBLANK(N72)))</formula>
    </cfRule>
  </conditionalFormatting>
  <conditionalFormatting sqref="N72">
    <cfRule type="duplicateValues" priority="207" dxfId="1" stopIfTrue="1">
      <formula>AND(COUNTIF($N$72:$N$72,N72)&gt;1,NOT(ISBLANK(N72)))</formula>
    </cfRule>
  </conditionalFormatting>
  <conditionalFormatting sqref="N72">
    <cfRule type="duplicateValues" priority="206" dxfId="1" stopIfTrue="1">
      <formula>AND(COUNTIF($N$72:$N$72,N72)&gt;1,NOT(ISBLANK(N72)))</formula>
    </cfRule>
  </conditionalFormatting>
  <conditionalFormatting sqref="N72">
    <cfRule type="duplicateValues" priority="205" dxfId="1" stopIfTrue="1">
      <formula>AND(COUNTIF($N$72:$N$72,N72)&gt;1,NOT(ISBLANK(N72)))</formula>
    </cfRule>
  </conditionalFormatting>
  <conditionalFormatting sqref="N72">
    <cfRule type="duplicateValues" priority="204" dxfId="662" stopIfTrue="1">
      <formula>AND(COUNTIF($N$72:$N$72,N72)&gt;1,NOT(ISBLANK(N72)))</formula>
    </cfRule>
  </conditionalFormatting>
  <conditionalFormatting sqref="N72">
    <cfRule type="duplicateValues" priority="202" dxfId="662">
      <formula>AND(COUNTIF($N$72:$N$72,N72)&gt;1,NOT(ISBLANK(N72)))</formula>
    </cfRule>
    <cfRule type="duplicateValues" priority="203" dxfId="1" stopIfTrue="1">
      <formula>AND(COUNTIF($N$72:$N$72,N72)&gt;1,NOT(ISBLANK(N72)))</formula>
    </cfRule>
  </conditionalFormatting>
  <conditionalFormatting sqref="N72">
    <cfRule type="duplicateValues" priority="201" dxfId="1" stopIfTrue="1">
      <formula>AND(COUNTIF($N$72:$N$72,N72)&gt;1,NOT(ISBLANK(N72)))</formula>
    </cfRule>
  </conditionalFormatting>
  <conditionalFormatting sqref="N72">
    <cfRule type="duplicateValues" priority="200" dxfId="1" stopIfTrue="1">
      <formula>AND(COUNTIF($N$72:$N$72,N72)&gt;1,NOT(ISBLANK(N72)))</formula>
    </cfRule>
  </conditionalFormatting>
  <conditionalFormatting sqref="N72">
    <cfRule type="duplicateValues" priority="199" dxfId="1" stopIfTrue="1">
      <formula>AND(COUNTIF($N$72:$N$72,N72)&gt;1,NOT(ISBLANK(N72)))</formula>
    </cfRule>
  </conditionalFormatting>
  <conditionalFormatting sqref="N72">
    <cfRule type="duplicateValues" priority="198" dxfId="1" stopIfTrue="1">
      <formula>AND(COUNTIF($N$72:$N$72,N72)&gt;1,NOT(ISBLANK(N72)))</formula>
    </cfRule>
  </conditionalFormatting>
  <conditionalFormatting sqref="N72">
    <cfRule type="duplicateValues" priority="197" dxfId="1" stopIfTrue="1">
      <formula>AND(COUNTIF($N$72:$N$72,N72)&gt;1,NOT(ISBLANK(N72)))</formula>
    </cfRule>
  </conditionalFormatting>
  <conditionalFormatting sqref="N72">
    <cfRule type="duplicateValues" priority="196" dxfId="1" stopIfTrue="1">
      <formula>AND(COUNTIF($N$72:$N$72,N72)&gt;1,NOT(ISBLANK(N72)))</formula>
    </cfRule>
  </conditionalFormatting>
  <conditionalFormatting sqref="N72">
    <cfRule type="duplicateValues" priority="195" dxfId="662" stopIfTrue="1">
      <formula>AND(COUNTIF($N$72:$N$72,N72)&gt;1,NOT(ISBLANK(N72)))</formula>
    </cfRule>
  </conditionalFormatting>
  <conditionalFormatting sqref="N124 N120 N116 N112 N108 N104 N100 N96 N92 N88 N84 N80 N76">
    <cfRule type="duplicateValues" priority="19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2" dxfId="662">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93"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6"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5" dxfId="662"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3" dxfId="662">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8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2"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6" dxfId="662"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O124 O120 O116 O112 O108 O104 O100 O96 O92 O88 O84 O80 O76 O72 O68 O64 O60 O56 O52 O48 O44 O40 O36 O32 O28 O24 O20 O16 O12">
    <cfRule type="duplicateValues" priority="154" dxfId="662">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55"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8"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7" dxfId="662"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5" dxfId="662">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4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4"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8" dxfId="662"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A8">
    <cfRule type="cellIs" priority="137" dxfId="663" operator="greaterThan">
      <formula>1000</formula>
    </cfRule>
  </conditionalFormatting>
  <conditionalFormatting sqref="A8">
    <cfRule type="cellIs" priority="136" dxfId="663" operator="greaterThan">
      <formula>1000</formula>
    </cfRule>
  </conditionalFormatting>
  <conditionalFormatting sqref="A8">
    <cfRule type="cellIs" priority="135" dxfId="663" operator="greaterThan">
      <formula>1000</formula>
    </cfRule>
  </conditionalFormatting>
  <conditionalFormatting sqref="O8">
    <cfRule type="duplicateValues" priority="126" dxfId="662">
      <formula>AND(COUNTIF($O$8:$O$8,O8)&gt;1,NOT(ISBLANK(O8)))</formula>
    </cfRule>
    <cfRule type="duplicateValues" priority="127" dxfId="1" stopIfTrue="1">
      <formula>AND(COUNTIF($O$8:$O$8,O8)&gt;1,NOT(ISBLANK(O8)))</formula>
    </cfRule>
  </conditionalFormatting>
  <conditionalFormatting sqref="O8">
    <cfRule type="duplicateValues" priority="125" dxfId="1" stopIfTrue="1">
      <formula>AND(COUNTIF($O$8:$O$8,O8)&gt;1,NOT(ISBLANK(O8)))</formula>
    </cfRule>
  </conditionalFormatting>
  <conditionalFormatting sqref="O8">
    <cfRule type="duplicateValues" priority="124" dxfId="1" stopIfTrue="1">
      <formula>AND(COUNTIF($O$8:$O$8,O8)&gt;1,NOT(ISBLANK(O8)))</formula>
    </cfRule>
  </conditionalFormatting>
  <conditionalFormatting sqref="O8">
    <cfRule type="duplicateValues" priority="123" dxfId="1" stopIfTrue="1">
      <formula>AND(COUNTIF($O$8:$O$8,O8)&gt;1,NOT(ISBLANK(O8)))</formula>
    </cfRule>
  </conditionalFormatting>
  <conditionalFormatting sqref="O8">
    <cfRule type="duplicateValues" priority="122" dxfId="1" stopIfTrue="1">
      <formula>AND(COUNTIF($O$8:$O$8,O8)&gt;1,NOT(ISBLANK(O8)))</formula>
    </cfRule>
  </conditionalFormatting>
  <conditionalFormatting sqref="O8">
    <cfRule type="duplicateValues" priority="121" dxfId="1" stopIfTrue="1">
      <formula>AND(COUNTIF($O$8:$O$8,O8)&gt;1,NOT(ISBLANK(O8)))</formula>
    </cfRule>
  </conditionalFormatting>
  <conditionalFormatting sqref="O8">
    <cfRule type="duplicateValues" priority="120" dxfId="1" stopIfTrue="1">
      <formula>AND(COUNTIF($O$8:$O$8,O8)&gt;1,NOT(ISBLANK(O8)))</formula>
    </cfRule>
  </conditionalFormatting>
  <conditionalFormatting sqref="O8">
    <cfRule type="duplicateValues" priority="119" dxfId="662" stopIfTrue="1">
      <formula>AND(COUNTIF($O$8:$O$8,O8)&gt;1,NOT(ISBLANK(O8)))</formula>
    </cfRule>
  </conditionalFormatting>
  <conditionalFormatting sqref="O8">
    <cfRule type="duplicateValues" priority="117" dxfId="662">
      <formula>AND(COUNTIF($O$8:$O$8,O8)&gt;1,NOT(ISBLANK(O8)))</formula>
    </cfRule>
    <cfRule type="duplicateValues" priority="118" dxfId="1" stopIfTrue="1">
      <formula>AND(COUNTIF($O$8:$O$8,O8)&gt;1,NOT(ISBLANK(O8)))</formula>
    </cfRule>
  </conditionalFormatting>
  <conditionalFormatting sqref="O8">
    <cfRule type="duplicateValues" priority="116" dxfId="1" stopIfTrue="1">
      <formula>AND(COUNTIF($O$8:$O$8,O8)&gt;1,NOT(ISBLANK(O8)))</formula>
    </cfRule>
  </conditionalFormatting>
  <conditionalFormatting sqref="O8">
    <cfRule type="duplicateValues" priority="115" dxfId="1" stopIfTrue="1">
      <formula>AND(COUNTIF($O$8:$O$8,O8)&gt;1,NOT(ISBLANK(O8)))</formula>
    </cfRule>
  </conditionalFormatting>
  <conditionalFormatting sqref="O8">
    <cfRule type="duplicateValues" priority="114" dxfId="1" stopIfTrue="1">
      <formula>AND(COUNTIF($O$8:$O$8,O8)&gt;1,NOT(ISBLANK(O8)))</formula>
    </cfRule>
  </conditionalFormatting>
  <conditionalFormatting sqref="O8">
    <cfRule type="duplicateValues" priority="113" dxfId="1" stopIfTrue="1">
      <formula>AND(COUNTIF($O$8:$O$8,O8)&gt;1,NOT(ISBLANK(O8)))</formula>
    </cfRule>
  </conditionalFormatting>
  <conditionalFormatting sqref="O8">
    <cfRule type="duplicateValues" priority="112" dxfId="1" stopIfTrue="1">
      <formula>AND(COUNTIF($O$8:$O$8,O8)&gt;1,NOT(ISBLANK(O8)))</formula>
    </cfRule>
  </conditionalFormatting>
  <conditionalFormatting sqref="O8">
    <cfRule type="duplicateValues" priority="111" dxfId="1" stopIfTrue="1">
      <formula>AND(COUNTIF($O$8:$O$8,O8)&gt;1,NOT(ISBLANK(O8)))</formula>
    </cfRule>
  </conditionalFormatting>
  <conditionalFormatting sqref="O8">
    <cfRule type="duplicateValues" priority="110" dxfId="662" stopIfTrue="1">
      <formula>AND(COUNTIF($O$8:$O$8,O8)&gt;1,NOT(ISBLANK(O8)))</formula>
    </cfRule>
  </conditionalFormatting>
  <conditionalFormatting sqref="O8">
    <cfRule type="duplicateValues" priority="128" dxfId="1" stopIfTrue="1">
      <formula>AND(COUNTIF($O$8:$O$8,O8)&gt;1,NOT(ISBLANK(O8)))</formula>
    </cfRule>
  </conditionalFormatting>
  <conditionalFormatting sqref="B8">
    <cfRule type="cellIs" priority="109" dxfId="663" operator="greaterThan">
      <formula>1000</formula>
    </cfRule>
  </conditionalFormatting>
  <conditionalFormatting sqref="B8">
    <cfRule type="cellIs" priority="108" dxfId="663" operator="greaterThan">
      <formula>1000</formula>
    </cfRule>
  </conditionalFormatting>
  <conditionalFormatting sqref="B8">
    <cfRule type="cellIs" priority="107" dxfId="663" operator="greaterThan">
      <formula>1000</formula>
    </cfRule>
  </conditionalFormatting>
  <conditionalFormatting sqref="B8">
    <cfRule type="cellIs" priority="106" dxfId="663" operator="greaterThan">
      <formula>1000</formula>
    </cfRule>
  </conditionalFormatting>
  <conditionalFormatting sqref="B16 B12 B20">
    <cfRule type="cellIs" priority="105" dxfId="663" operator="greaterThan">
      <formula>1000</formula>
    </cfRule>
  </conditionalFormatting>
  <conditionalFormatting sqref="B16 B12 B20">
    <cfRule type="cellIs" priority="104" dxfId="663" operator="greaterThan">
      <formula>1000</formula>
    </cfRule>
  </conditionalFormatting>
  <conditionalFormatting sqref="B16 B12 B20">
    <cfRule type="cellIs" priority="103" dxfId="663" operator="greaterThan">
      <formula>1000</formula>
    </cfRule>
  </conditionalFormatting>
  <conditionalFormatting sqref="B16 B12 B20">
    <cfRule type="cellIs" priority="102" dxfId="663" operator="greaterThan">
      <formula>1000</formula>
    </cfRule>
  </conditionalFormatting>
  <conditionalFormatting sqref="B112">
    <cfRule type="cellIs" priority="25" dxfId="663" operator="greaterThan">
      <formula>1000</formula>
    </cfRule>
  </conditionalFormatting>
  <conditionalFormatting sqref="B112">
    <cfRule type="cellIs" priority="24" dxfId="663" operator="greaterThan">
      <formula>1000</formula>
    </cfRule>
  </conditionalFormatting>
  <conditionalFormatting sqref="B112">
    <cfRule type="cellIs" priority="23" dxfId="663" operator="greaterThan">
      <formula>1000</formula>
    </cfRule>
  </conditionalFormatting>
  <conditionalFormatting sqref="B112">
    <cfRule type="cellIs" priority="22" dxfId="663" operator="greaterThan">
      <formula>1000</formula>
    </cfRule>
  </conditionalFormatting>
  <conditionalFormatting sqref="B120">
    <cfRule type="cellIs" priority="17" dxfId="663" operator="greaterThan">
      <formula>1000</formula>
    </cfRule>
  </conditionalFormatting>
  <conditionalFormatting sqref="B120">
    <cfRule type="cellIs" priority="16" dxfId="663" operator="greaterThan">
      <formula>1000</formula>
    </cfRule>
  </conditionalFormatting>
  <conditionalFormatting sqref="B120">
    <cfRule type="cellIs" priority="15" dxfId="663" operator="greaterThan">
      <formula>1000</formula>
    </cfRule>
  </conditionalFormatting>
  <conditionalFormatting sqref="B120">
    <cfRule type="cellIs" priority="14" dxfId="663" operator="greaterThan">
      <formula>1000</formula>
    </cfRule>
  </conditionalFormatting>
  <conditionalFormatting sqref="B28 B24">
    <cfRule type="cellIs" priority="93" dxfId="663" operator="greaterThan">
      <formula>1000</formula>
    </cfRule>
  </conditionalFormatting>
  <conditionalFormatting sqref="B28 B24">
    <cfRule type="cellIs" priority="92" dxfId="663" operator="greaterThan">
      <formula>1000</formula>
    </cfRule>
  </conditionalFormatting>
  <conditionalFormatting sqref="B28 B24">
    <cfRule type="cellIs" priority="91" dxfId="663" operator="greaterThan">
      <formula>1000</formula>
    </cfRule>
  </conditionalFormatting>
  <conditionalFormatting sqref="B28 B24">
    <cfRule type="cellIs" priority="90" dxfId="663" operator="greaterThan">
      <formula>1000</formula>
    </cfRule>
  </conditionalFormatting>
  <conditionalFormatting sqref="B48 B44 B40 B36 B32">
    <cfRule type="cellIs" priority="89" dxfId="663" operator="greaterThan">
      <formula>1000</formula>
    </cfRule>
  </conditionalFormatting>
  <conditionalFormatting sqref="B48 B44 B40 B36 B32">
    <cfRule type="cellIs" priority="88" dxfId="663" operator="greaterThan">
      <formula>1000</formula>
    </cfRule>
  </conditionalFormatting>
  <conditionalFormatting sqref="B48 B44 B40 B36 B32">
    <cfRule type="cellIs" priority="87" dxfId="663" operator="greaterThan">
      <formula>1000</formula>
    </cfRule>
  </conditionalFormatting>
  <conditionalFormatting sqref="B48 B44 B40 B36 B32">
    <cfRule type="cellIs" priority="86" dxfId="663" operator="greaterThan">
      <formula>1000</formula>
    </cfRule>
  </conditionalFormatting>
  <conditionalFormatting sqref="B52">
    <cfRule type="cellIs" priority="85" dxfId="663" operator="greaterThan">
      <formula>1000</formula>
    </cfRule>
  </conditionalFormatting>
  <conditionalFormatting sqref="B52">
    <cfRule type="cellIs" priority="84" dxfId="663" operator="greaterThan">
      <formula>1000</formula>
    </cfRule>
  </conditionalFormatting>
  <conditionalFormatting sqref="B52">
    <cfRule type="cellIs" priority="83" dxfId="663" operator="greaterThan">
      <formula>1000</formula>
    </cfRule>
  </conditionalFormatting>
  <conditionalFormatting sqref="B52">
    <cfRule type="cellIs" priority="82" dxfId="663" operator="greaterThan">
      <formula>1000</formula>
    </cfRule>
  </conditionalFormatting>
  <conditionalFormatting sqref="B56">
    <cfRule type="cellIs" priority="81" dxfId="663" operator="greaterThan">
      <formula>1000</formula>
    </cfRule>
  </conditionalFormatting>
  <conditionalFormatting sqref="B56">
    <cfRule type="cellIs" priority="80" dxfId="663" operator="greaterThan">
      <formula>1000</formula>
    </cfRule>
  </conditionalFormatting>
  <conditionalFormatting sqref="B56">
    <cfRule type="cellIs" priority="79" dxfId="663" operator="greaterThan">
      <formula>1000</formula>
    </cfRule>
  </conditionalFormatting>
  <conditionalFormatting sqref="B56">
    <cfRule type="cellIs" priority="78" dxfId="663" operator="greaterThan">
      <formula>1000</formula>
    </cfRule>
  </conditionalFormatting>
  <conditionalFormatting sqref="B60">
    <cfRule type="cellIs" priority="77" dxfId="663" operator="greaterThan">
      <formula>1000</formula>
    </cfRule>
  </conditionalFormatting>
  <conditionalFormatting sqref="B60">
    <cfRule type="cellIs" priority="76" dxfId="663" operator="greaterThan">
      <formula>1000</formula>
    </cfRule>
  </conditionalFormatting>
  <conditionalFormatting sqref="B60">
    <cfRule type="cellIs" priority="75" dxfId="663" operator="greaterThan">
      <formula>1000</formula>
    </cfRule>
  </conditionalFormatting>
  <conditionalFormatting sqref="B60">
    <cfRule type="cellIs" priority="74" dxfId="663" operator="greaterThan">
      <formula>1000</formula>
    </cfRule>
  </conditionalFormatting>
  <conditionalFormatting sqref="B64">
    <cfRule type="cellIs" priority="73" dxfId="663" operator="greaterThan">
      <formula>1000</formula>
    </cfRule>
  </conditionalFormatting>
  <conditionalFormatting sqref="B64">
    <cfRule type="cellIs" priority="72" dxfId="663" operator="greaterThan">
      <formula>1000</formula>
    </cfRule>
  </conditionalFormatting>
  <conditionalFormatting sqref="B64">
    <cfRule type="cellIs" priority="71" dxfId="663" operator="greaterThan">
      <formula>1000</formula>
    </cfRule>
  </conditionalFormatting>
  <conditionalFormatting sqref="B64">
    <cfRule type="cellIs" priority="70" dxfId="663" operator="greaterThan">
      <formula>1000</formula>
    </cfRule>
  </conditionalFormatting>
  <conditionalFormatting sqref="B68">
    <cfRule type="cellIs" priority="69" dxfId="663" operator="greaterThan">
      <formula>1000</formula>
    </cfRule>
  </conditionalFormatting>
  <conditionalFormatting sqref="B68">
    <cfRule type="cellIs" priority="68" dxfId="663" operator="greaterThan">
      <formula>1000</formula>
    </cfRule>
  </conditionalFormatting>
  <conditionalFormatting sqref="B68">
    <cfRule type="cellIs" priority="67" dxfId="663" operator="greaterThan">
      <formula>1000</formula>
    </cfRule>
  </conditionalFormatting>
  <conditionalFormatting sqref="B68">
    <cfRule type="cellIs" priority="66" dxfId="663" operator="greaterThan">
      <formula>1000</formula>
    </cfRule>
  </conditionalFormatting>
  <conditionalFormatting sqref="B72">
    <cfRule type="cellIs" priority="65" dxfId="663" operator="greaterThan">
      <formula>1000</formula>
    </cfRule>
  </conditionalFormatting>
  <conditionalFormatting sqref="B72">
    <cfRule type="cellIs" priority="64" dxfId="663" operator="greaterThan">
      <formula>1000</formula>
    </cfRule>
  </conditionalFormatting>
  <conditionalFormatting sqref="B72">
    <cfRule type="cellIs" priority="63" dxfId="663" operator="greaterThan">
      <formula>1000</formula>
    </cfRule>
  </conditionalFormatting>
  <conditionalFormatting sqref="B72">
    <cfRule type="cellIs" priority="62" dxfId="663" operator="greaterThan">
      <formula>1000</formula>
    </cfRule>
  </conditionalFormatting>
  <conditionalFormatting sqref="B76">
    <cfRule type="cellIs" priority="61" dxfId="663" operator="greaterThan">
      <formula>1000</formula>
    </cfRule>
  </conditionalFormatting>
  <conditionalFormatting sqref="B76">
    <cfRule type="cellIs" priority="60" dxfId="663" operator="greaterThan">
      <formula>1000</formula>
    </cfRule>
  </conditionalFormatting>
  <conditionalFormatting sqref="B76">
    <cfRule type="cellIs" priority="59" dxfId="663" operator="greaterThan">
      <formula>1000</formula>
    </cfRule>
  </conditionalFormatting>
  <conditionalFormatting sqref="B76">
    <cfRule type="cellIs" priority="58" dxfId="663" operator="greaterThan">
      <formula>1000</formula>
    </cfRule>
  </conditionalFormatting>
  <conditionalFormatting sqref="B80">
    <cfRule type="cellIs" priority="57" dxfId="663" operator="greaterThan">
      <formula>1000</formula>
    </cfRule>
  </conditionalFormatting>
  <conditionalFormatting sqref="B80">
    <cfRule type="cellIs" priority="56" dxfId="663" operator="greaterThan">
      <formula>1000</formula>
    </cfRule>
  </conditionalFormatting>
  <conditionalFormatting sqref="B80">
    <cfRule type="cellIs" priority="55" dxfId="663" operator="greaterThan">
      <formula>1000</formula>
    </cfRule>
  </conditionalFormatting>
  <conditionalFormatting sqref="B80">
    <cfRule type="cellIs" priority="54" dxfId="663" operator="greaterThan">
      <formula>1000</formula>
    </cfRule>
  </conditionalFormatting>
  <conditionalFormatting sqref="B84">
    <cfRule type="cellIs" priority="53" dxfId="663" operator="greaterThan">
      <formula>1000</formula>
    </cfRule>
  </conditionalFormatting>
  <conditionalFormatting sqref="B84">
    <cfRule type="cellIs" priority="52" dxfId="663" operator="greaterThan">
      <formula>1000</formula>
    </cfRule>
  </conditionalFormatting>
  <conditionalFormatting sqref="B84">
    <cfRule type="cellIs" priority="51" dxfId="663" operator="greaterThan">
      <formula>1000</formula>
    </cfRule>
  </conditionalFormatting>
  <conditionalFormatting sqref="B84">
    <cfRule type="cellIs" priority="50" dxfId="663" operator="greaterThan">
      <formula>1000</formula>
    </cfRule>
  </conditionalFormatting>
  <conditionalFormatting sqref="B88">
    <cfRule type="cellIs" priority="49" dxfId="663" operator="greaterThan">
      <formula>1000</formula>
    </cfRule>
  </conditionalFormatting>
  <conditionalFormatting sqref="B88">
    <cfRule type="cellIs" priority="48" dxfId="663" operator="greaterThan">
      <formula>1000</formula>
    </cfRule>
  </conditionalFormatting>
  <conditionalFormatting sqref="B88">
    <cfRule type="cellIs" priority="47" dxfId="663" operator="greaterThan">
      <formula>1000</formula>
    </cfRule>
  </conditionalFormatting>
  <conditionalFormatting sqref="B88">
    <cfRule type="cellIs" priority="46" dxfId="663" operator="greaterThan">
      <formula>1000</formula>
    </cfRule>
  </conditionalFormatting>
  <conditionalFormatting sqref="B92">
    <cfRule type="cellIs" priority="45" dxfId="663" operator="greaterThan">
      <formula>1000</formula>
    </cfRule>
  </conditionalFormatting>
  <conditionalFormatting sqref="B92">
    <cfRule type="cellIs" priority="44" dxfId="663" operator="greaterThan">
      <formula>1000</formula>
    </cfRule>
  </conditionalFormatting>
  <conditionalFormatting sqref="B92">
    <cfRule type="cellIs" priority="43" dxfId="663" operator="greaterThan">
      <formula>1000</formula>
    </cfRule>
  </conditionalFormatting>
  <conditionalFormatting sqref="B92">
    <cfRule type="cellIs" priority="42" dxfId="663" operator="greaterThan">
      <formula>1000</formula>
    </cfRule>
  </conditionalFormatting>
  <conditionalFormatting sqref="B96">
    <cfRule type="cellIs" priority="41" dxfId="663" operator="greaterThan">
      <formula>1000</formula>
    </cfRule>
  </conditionalFormatting>
  <conditionalFormatting sqref="B96">
    <cfRule type="cellIs" priority="40" dxfId="663" operator="greaterThan">
      <formula>1000</formula>
    </cfRule>
  </conditionalFormatting>
  <conditionalFormatting sqref="B96">
    <cfRule type="cellIs" priority="39" dxfId="663" operator="greaterThan">
      <formula>1000</formula>
    </cfRule>
  </conditionalFormatting>
  <conditionalFormatting sqref="B96">
    <cfRule type="cellIs" priority="38" dxfId="663" operator="greaterThan">
      <formula>1000</formula>
    </cfRule>
  </conditionalFormatting>
  <conditionalFormatting sqref="B100">
    <cfRule type="cellIs" priority="37" dxfId="663" operator="greaterThan">
      <formula>1000</formula>
    </cfRule>
  </conditionalFormatting>
  <conditionalFormatting sqref="B100">
    <cfRule type="cellIs" priority="36" dxfId="663" operator="greaterThan">
      <formula>1000</formula>
    </cfRule>
  </conditionalFormatting>
  <conditionalFormatting sqref="B100">
    <cfRule type="cellIs" priority="35" dxfId="663" operator="greaterThan">
      <formula>1000</formula>
    </cfRule>
  </conditionalFormatting>
  <conditionalFormatting sqref="B100">
    <cfRule type="cellIs" priority="34" dxfId="663" operator="greaterThan">
      <formula>1000</formula>
    </cfRule>
  </conditionalFormatting>
  <conditionalFormatting sqref="B104">
    <cfRule type="cellIs" priority="33" dxfId="663" operator="greaterThan">
      <formula>1000</formula>
    </cfRule>
  </conditionalFormatting>
  <conditionalFormatting sqref="B104">
    <cfRule type="cellIs" priority="32" dxfId="663" operator="greaterThan">
      <formula>1000</formula>
    </cfRule>
  </conditionalFormatting>
  <conditionalFormatting sqref="B104">
    <cfRule type="cellIs" priority="31" dxfId="663" operator="greaterThan">
      <formula>1000</formula>
    </cfRule>
  </conditionalFormatting>
  <conditionalFormatting sqref="B104">
    <cfRule type="cellIs" priority="30" dxfId="663" operator="greaterThan">
      <formula>1000</formula>
    </cfRule>
  </conditionalFormatting>
  <conditionalFormatting sqref="B108">
    <cfRule type="cellIs" priority="29" dxfId="663" operator="greaterThan">
      <formula>1000</formula>
    </cfRule>
  </conditionalFormatting>
  <conditionalFormatting sqref="B108">
    <cfRule type="cellIs" priority="28" dxfId="663" operator="greaterThan">
      <formula>1000</formula>
    </cfRule>
  </conditionalFormatting>
  <conditionalFormatting sqref="B108">
    <cfRule type="cellIs" priority="27" dxfId="663" operator="greaterThan">
      <formula>1000</formula>
    </cfRule>
  </conditionalFormatting>
  <conditionalFormatting sqref="B108">
    <cfRule type="cellIs" priority="26" dxfId="663" operator="greaterThan">
      <formula>1000</formula>
    </cfRule>
  </conditionalFormatting>
  <conditionalFormatting sqref="B116">
    <cfRule type="cellIs" priority="21" dxfId="663" operator="greaterThan">
      <formula>1000</formula>
    </cfRule>
  </conditionalFormatting>
  <conditionalFormatting sqref="B116">
    <cfRule type="cellIs" priority="20" dxfId="663" operator="greaterThan">
      <formula>1000</formula>
    </cfRule>
  </conditionalFormatting>
  <conditionalFormatting sqref="B116">
    <cfRule type="cellIs" priority="19" dxfId="663" operator="greaterThan">
      <formula>1000</formula>
    </cfRule>
  </conditionalFormatting>
  <conditionalFormatting sqref="B116">
    <cfRule type="cellIs" priority="18" dxfId="663" operator="greaterThan">
      <formula>1000</formula>
    </cfRule>
  </conditionalFormatting>
  <conditionalFormatting sqref="B124">
    <cfRule type="cellIs" priority="13" dxfId="663" operator="greaterThan">
      <formula>1000</formula>
    </cfRule>
  </conditionalFormatting>
  <conditionalFormatting sqref="B124">
    <cfRule type="cellIs" priority="12" dxfId="663" operator="greaterThan">
      <formula>1000</formula>
    </cfRule>
  </conditionalFormatting>
  <conditionalFormatting sqref="B124">
    <cfRule type="cellIs" priority="11" dxfId="663" operator="greaterThan">
      <formula>1000</formula>
    </cfRule>
  </conditionalFormatting>
  <conditionalFormatting sqref="B124">
    <cfRule type="cellIs" priority="10" dxfId="663" operator="greaterThan">
      <formula>1000</formula>
    </cfRule>
  </conditionalFormatting>
  <conditionalFormatting sqref="A52 A48 A44 A40 A36 A32 A28 A24 A20 A16 A12">
    <cfRule type="cellIs" priority="9" dxfId="663" operator="greaterThan">
      <formula>1000</formula>
    </cfRule>
  </conditionalFormatting>
  <conditionalFormatting sqref="A52 A48 A44 A40 A36 A32 A28 A24 A20 A16 A12">
    <cfRule type="cellIs" priority="8" dxfId="663" operator="greaterThan">
      <formula>1000</formula>
    </cfRule>
  </conditionalFormatting>
  <conditionalFormatting sqref="A52 A48 A44 A40 A36 A32 A28 A24 A20 A16 A12">
    <cfRule type="cellIs" priority="7" dxfId="663" operator="greaterThan">
      <formula>1000</formula>
    </cfRule>
  </conditionalFormatting>
  <conditionalFormatting sqref="A88 A84 A80 A76 A72 A68 A64 A60 A56">
    <cfRule type="cellIs" priority="6" dxfId="663" operator="greaterThan">
      <formula>1000</formula>
    </cfRule>
  </conditionalFormatting>
  <conditionalFormatting sqref="A88 A84 A80 A76 A72 A68 A64 A60 A56">
    <cfRule type="cellIs" priority="5" dxfId="663" operator="greaterThan">
      <formula>1000</formula>
    </cfRule>
  </conditionalFormatting>
  <conditionalFormatting sqref="A88 A84 A80 A76 A72 A68 A64 A60 A56">
    <cfRule type="cellIs" priority="4" dxfId="663" operator="greaterThan">
      <formula>1000</formula>
    </cfRule>
  </conditionalFormatting>
  <conditionalFormatting sqref="A124 A120 A116 A112 A108 A104 A100 A96 A92">
    <cfRule type="cellIs" priority="3" dxfId="663" operator="greaterThan">
      <formula>1000</formula>
    </cfRule>
  </conditionalFormatting>
  <conditionalFormatting sqref="A124 A120 A116 A112 A108 A104 A100 A96 A92">
    <cfRule type="cellIs" priority="2" dxfId="663" operator="greaterThan">
      <formula>1000</formula>
    </cfRule>
  </conditionalFormatting>
  <conditionalFormatting sqref="A124 A120 A116 A112 A108 A104 A100 A96 A92">
    <cfRule type="cellIs" priority="1" dxfId="663" operator="greaterThan">
      <formula>1000</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C8:C73 C74:C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view="pageBreakPreview" zoomScale="110" zoomScaleSheetLayoutView="110" zoomScalePageLayoutView="0" workbookViewId="0" topLeftCell="A1">
      <selection activeCell="J20" sqref="J20"/>
    </sheetView>
  </sheetViews>
  <sheetFormatPr defaultColWidth="9.00390625" defaultRowHeight="12.75"/>
  <cols>
    <col min="1" max="1" width="8.75390625" style="27" customWidth="1"/>
    <col min="2" max="2" width="30.75390625" style="20" customWidth="1"/>
    <col min="3" max="3" width="6.625" style="20" customWidth="1"/>
    <col min="4" max="4" width="24.25390625" style="20" customWidth="1"/>
    <col min="5" max="5" width="5.875" style="20" hidden="1" customWidth="1"/>
    <col min="6" max="6" width="8.00390625" style="20" customWidth="1"/>
    <col min="7" max="7" width="6.375" style="20" customWidth="1"/>
    <col min="8" max="8" width="9.125" style="149" customWidth="1"/>
    <col min="9" max="9" width="9.125" style="20" customWidth="1"/>
    <col min="10" max="10" width="14.25390625" style="20" customWidth="1"/>
    <col min="11" max="11" width="9.125" style="20" customWidth="1"/>
    <col min="12" max="12" width="16.875" style="20" customWidth="1"/>
    <col min="13" max="16384" width="9.125" style="20" customWidth="1"/>
  </cols>
  <sheetData>
    <row r="1" spans="1:8" s="1" customFormat="1" ht="30" customHeight="1">
      <c r="A1" s="282" t="str">
        <f>KAPAK!A2</f>
        <v>Aksaray Atletizm İl Temsilciliği</v>
      </c>
      <c r="B1" s="283"/>
      <c r="C1" s="283"/>
      <c r="D1" s="283"/>
      <c r="E1" s="283"/>
      <c r="F1" s="283"/>
      <c r="G1" s="283"/>
      <c r="H1" s="284"/>
    </row>
    <row r="2" spans="1:8" s="1" customFormat="1" ht="14.25">
      <c r="A2" s="279" t="str">
        <f>KAPAK!B24</f>
        <v>Küçükler ve Yıldızlar Bölgesel Kros Ligi 3.Kademe Yarışmaları</v>
      </c>
      <c r="B2" s="280"/>
      <c r="C2" s="280"/>
      <c r="D2" s="280"/>
      <c r="E2" s="280"/>
      <c r="F2" s="280"/>
      <c r="G2" s="280"/>
      <c r="H2" s="281"/>
    </row>
    <row r="3" spans="1:8" s="1" customFormat="1" ht="14.25">
      <c r="A3" s="285" t="str">
        <f>KAPAK!B27</f>
        <v>Aksaray</v>
      </c>
      <c r="B3" s="286"/>
      <c r="C3" s="286"/>
      <c r="D3" s="286"/>
      <c r="E3" s="286"/>
      <c r="F3" s="286"/>
      <c r="G3" s="286"/>
      <c r="H3" s="287"/>
    </row>
    <row r="4" spans="1:8" s="1" customFormat="1" ht="17.25" customHeight="1">
      <c r="A4" s="288" t="str">
        <f>KAPAK!B26</f>
        <v>Yıldız Erkekler</v>
      </c>
      <c r="B4" s="289"/>
      <c r="C4" s="272" t="str">
        <f>KAPAK!B25</f>
        <v>3 km.</v>
      </c>
      <c r="D4" s="272"/>
      <c r="E4" s="40"/>
      <c r="F4" s="273">
        <f>KAPAK!B28</f>
        <v>41959.458333333336</v>
      </c>
      <c r="G4" s="273"/>
      <c r="H4" s="278"/>
    </row>
    <row r="5" spans="1:8" s="4" customFormat="1" ht="29.25" customHeight="1">
      <c r="A5" s="193" t="s">
        <v>5</v>
      </c>
      <c r="B5" s="90" t="s">
        <v>17</v>
      </c>
      <c r="C5" s="91" t="s">
        <v>1</v>
      </c>
      <c r="D5" s="90" t="s">
        <v>3</v>
      </c>
      <c r="E5" s="90" t="s">
        <v>8</v>
      </c>
      <c r="F5" s="90" t="s">
        <v>7</v>
      </c>
      <c r="G5" s="93" t="s">
        <v>15</v>
      </c>
      <c r="H5" s="215" t="s">
        <v>6</v>
      </c>
    </row>
    <row r="6" spans="1:8" s="1" customFormat="1" ht="33.75" customHeight="1">
      <c r="A6" s="216"/>
      <c r="B6" s="7"/>
      <c r="C6" s="95">
        <f>IF(A8="","",INDEX('TAKIM KAYIT'!$D$6:$D$125,MATCH(C8,'TAKIM KAYIT'!$D$6:$D$125,0)-2))</f>
        <v>291</v>
      </c>
      <c r="D6" s="8" t="str">
        <f>IF(ISERROR(VLOOKUP($C6,'START LİSTE'!$B$6:$F$836,2,0)),"",VLOOKUP($C6,'START LİSTE'!$B$6:$F$836,2,0))</f>
        <v>EMRE ÖREN</v>
      </c>
      <c r="E6" s="9" t="str">
        <f>IF(ISERROR(VLOOKUP($C6,'START LİSTE'!$B$6:$F$836,4,0)),"",VLOOKUP($C6,'START LİSTE'!$B$6:$F$836,4,0))</f>
        <v>T</v>
      </c>
      <c r="F6" s="105">
        <f>IF(ISERROR(VLOOKUP($C6,'FERDİ SONUÇ'!$B$6:$H$962,6,0)),"",VLOOKUP($C6,'FERDİ SONUÇ'!$B$6:$H$962,6,0))</f>
        <v>937</v>
      </c>
      <c r="G6" s="41">
        <f>IF(OR(E6="",F6="DQ",F6="DNF",F6="DNS",F6=""),"-",VLOOKUP(C6,'FERDİ SONUÇ'!$B$6:$H$962,7,0))</f>
        <v>2</v>
      </c>
      <c r="H6" s="196"/>
    </row>
    <row r="7" spans="1:8" s="1" customFormat="1" ht="33.75" customHeight="1">
      <c r="A7" s="217"/>
      <c r="B7" s="14"/>
      <c r="C7" s="96">
        <f>IF(A8="","",INDEX('TAKIM KAYIT'!$D$6:$D$125,MATCH(C8,'TAKIM KAYIT'!$D$6:$D$125,0)-1))</f>
        <v>292</v>
      </c>
      <c r="D7" s="15" t="str">
        <f>IF(ISERROR(VLOOKUP($C7,'START LİSTE'!$B$6:$F$836,2,0)),"",VLOOKUP($C7,'START LİSTE'!$B$6:$F$836,2,0))</f>
        <v>ATİLLA MURATOĞLU</v>
      </c>
      <c r="E7" s="16" t="str">
        <f>IF(ISERROR(VLOOKUP($C7,'START LİSTE'!$B$6:$F$836,4,0)),"",VLOOKUP($C7,'START LİSTE'!$B$6:$F$836,4,0))</f>
        <v>T</v>
      </c>
      <c r="F7" s="106">
        <f>IF(ISERROR(VLOOKUP($C7,'FERDİ SONUÇ'!$B$6:$H$962,6,0)),"",VLOOKUP($C7,'FERDİ SONUÇ'!$B$6:$H$962,6,0))</f>
        <v>952</v>
      </c>
      <c r="G7" s="42">
        <f>IF(OR(E7="",F7="DQ",F7="DNF",F7="DNS",F7=""),"-",VLOOKUP(C7,'FERDİ SONUÇ'!$B$6:$H$962,7,0))</f>
        <v>4</v>
      </c>
      <c r="H7" s="198"/>
    </row>
    <row r="8" spans="1:8" s="1" customFormat="1" ht="33.75" customHeight="1">
      <c r="A8" s="218">
        <f>IF(ISERROR(SMALL('TAKIM KAYIT'!$B$6:$B$125,1)),"",SMALL('TAKIM KAYIT'!$B$6:$B$125,1))</f>
        <v>1</v>
      </c>
      <c r="B8" s="14" t="str">
        <f>IF(A8="","",VLOOKUP(A8,'TAKIM KAYIT'!$B$6:$O$125,2,FALSE))</f>
        <v>ADANA GSİM</v>
      </c>
      <c r="C8" s="96">
        <f>IF(A8="","",VLOOKUP(A8,'TAKIM KAYIT'!$B$6:$O$125,3,FALSE))</f>
        <v>293</v>
      </c>
      <c r="D8" s="15" t="str">
        <f>IF(ISERROR(VLOOKUP($C8,'START LİSTE'!$B$6:$F$836,2,0)),"",VLOOKUP($C8,'START LİSTE'!$B$6:$F$836,2,0))</f>
        <v>EMRE GÜZEL</v>
      </c>
      <c r="E8" s="16" t="str">
        <f>IF(ISERROR(VLOOKUP($C8,'START LİSTE'!$B$6:$F$836,4,0)),"",VLOOKUP($C8,'START LİSTE'!$B$6:$F$836,4,0))</f>
        <v>T</v>
      </c>
      <c r="F8" s="106">
        <f>IF(ISERROR(VLOOKUP($C8,'FERDİ SONUÇ'!$B$6:$H$962,6,0)),"",VLOOKUP($C8,'FERDİ SONUÇ'!$B$6:$H$962,6,0))</f>
        <v>1018</v>
      </c>
      <c r="G8" s="42">
        <f>IF(OR(E8="",F8="DQ",F8="DNF",F8="DNS",F8=""),"-",VLOOKUP(C8,'FERDİ SONUÇ'!$B$6:$H$962,7,0))</f>
        <v>10</v>
      </c>
      <c r="H8" s="199">
        <f>IF(A8="","",VLOOKUP(A8,'TAKIM KAYIT'!$B$6:$P$125,13,FALSE))</f>
        <v>7.0004</v>
      </c>
    </row>
    <row r="9" spans="1:8" s="1" customFormat="1" ht="33.75" customHeight="1">
      <c r="A9" s="217"/>
      <c r="B9" s="14"/>
      <c r="C9" s="96">
        <f>IF(A8="","",INDEX('TAKIM KAYIT'!$D$6:$D$125,MATCH(C8,'TAKIM KAYIT'!$D$6:$D$125,0)+1))</f>
        <v>294</v>
      </c>
      <c r="D9" s="15" t="str">
        <f>IF(ISERROR(VLOOKUP($C9,'START LİSTE'!$B$6:$F$836,2,0)),"",VLOOKUP($C9,'START LİSTE'!$B$6:$F$836,2,0))</f>
        <v>ŞAHİN BALKIŞ</v>
      </c>
      <c r="E9" s="16" t="str">
        <f>IF(ISERROR(VLOOKUP($C9,'START LİSTE'!$B$6:$F$836,4,0)),"",VLOOKUP($C9,'START LİSTE'!$B$6:$F$836,4,0))</f>
        <v>T</v>
      </c>
      <c r="F9" s="106">
        <f>IF(ISERROR(VLOOKUP($C9,'FERDİ SONUÇ'!$B$6:$H$962,6,0)),"",VLOOKUP($C9,'FERDİ SONUÇ'!$B$6:$H$962,6,0))</f>
        <v>928</v>
      </c>
      <c r="G9" s="42">
        <f>IF(OR(E9="",F9="DQ",F9="DNF",F9="DNS",F9=""),"-",VLOOKUP(C9,'FERDİ SONUÇ'!$B$6:$H$962,7,0))</f>
        <v>1</v>
      </c>
      <c r="H9" s="198"/>
    </row>
    <row r="10" spans="1:8" ht="33.75" customHeight="1">
      <c r="A10" s="216"/>
      <c r="B10" s="7"/>
      <c r="C10" s="95">
        <f>IF(A12="","",INDEX('TAKIM KAYIT'!$D$6:$D$125,MATCH(C12,'TAKIM KAYIT'!$D$6:$D$125,0)-2))</f>
        <v>275</v>
      </c>
      <c r="D10" s="8" t="str">
        <f>IF(ISERROR(VLOOKUP($C10,'START LİSTE'!$B$6:$F$836,2,0)),"",VLOOKUP($C10,'START LİSTE'!$B$6:$F$836,2,0))</f>
        <v>ANIL ÖZÇELİK</v>
      </c>
      <c r="E10" s="9" t="str">
        <f>IF(ISERROR(VLOOKUP($C10,'START LİSTE'!$B$6:$F$836,4,0)),"",VLOOKUP($C10,'START LİSTE'!$B$6:$F$836,4,0))</f>
        <v>T</v>
      </c>
      <c r="F10" s="105">
        <f>IF(ISERROR(VLOOKUP($C10,'FERDİ SONUÇ'!$B$6:$H$962,6,0)),"",VLOOKUP($C10,'FERDİ SONUÇ'!$B$6:$H$962,6,0))</f>
        <v>956</v>
      </c>
      <c r="G10" s="41">
        <f>IF(OR(E10="",F10="DQ",F10="DNF",F10="DNS",F10=""),"-",VLOOKUP(C10,'FERDİ SONUÇ'!$B$6:$H$962,7,0))</f>
        <v>5</v>
      </c>
      <c r="H10" s="196"/>
    </row>
    <row r="11" spans="1:8" ht="33.75" customHeight="1">
      <c r="A11" s="217"/>
      <c r="B11" s="14"/>
      <c r="C11" s="96">
        <f>IF(A12="","",INDEX('TAKIM KAYIT'!$D$6:$D$125,MATCH(C12,'TAKIM KAYIT'!$D$6:$D$125,0)-1))</f>
        <v>276</v>
      </c>
      <c r="D11" s="15" t="str">
        <f>IF(ISERROR(VLOOKUP($C11,'START LİSTE'!$B$6:$F$836,2,0)),"",VLOOKUP($C11,'START LİSTE'!$B$6:$F$836,2,0))</f>
        <v>MUHAMMED MUSTAFA HELVACI</v>
      </c>
      <c r="E11" s="16" t="str">
        <f>IF(ISERROR(VLOOKUP($C11,'START LİSTE'!$B$6:$F$836,4,0)),"",VLOOKUP($C11,'START LİSTE'!$B$6:$F$836,4,0))</f>
        <v>T</v>
      </c>
      <c r="F11" s="106">
        <f>IF(ISERROR(VLOOKUP($C11,'FERDİ SONUÇ'!$B$6:$H$962,6,0)),"",VLOOKUP($C11,'FERDİ SONUÇ'!$B$6:$H$962,6,0))</f>
        <v>937</v>
      </c>
      <c r="G11" s="42">
        <f>IF(OR(E11="",F11="DQ",F11="DNF",F11="DNS",F11=""),"-",VLOOKUP(C11,'FERDİ SONUÇ'!$B$6:$H$962,7,0))</f>
        <v>3</v>
      </c>
      <c r="H11" s="198"/>
    </row>
    <row r="12" spans="1:8" ht="33.75" customHeight="1">
      <c r="A12" s="218">
        <f>IF(ISERROR(SMALL('TAKIM KAYIT'!$B$6:$B$125,2)),"",SMALL('TAKIM KAYIT'!$B$6:$B$125,2))</f>
        <v>2</v>
      </c>
      <c r="B12" s="14" t="str">
        <f>IF(A12="","",VLOOKUP(A12,'TAKIM KAYIT'!$B$6:$O$125,2,FALSE))</f>
        <v>HATAY-B.ŞHR.BLD.GSK.</v>
      </c>
      <c r="C12" s="96">
        <f>IF(A12="","",VLOOKUP(A12,'TAKIM KAYIT'!$B$6:$O$125,3,FALSE))</f>
        <v>277</v>
      </c>
      <c r="D12" s="15" t="str">
        <f>IF(ISERROR(VLOOKUP($C12,'START LİSTE'!$B$6:$F$836,2,0)),"",VLOOKUP($C12,'START LİSTE'!$B$6:$F$836,2,0))</f>
        <v>AHMET ÖZÇELİK</v>
      </c>
      <c r="E12" s="16" t="str">
        <f>IF(ISERROR(VLOOKUP($C12,'START LİSTE'!$B$6:$F$836,4,0)),"",VLOOKUP($C12,'START LİSTE'!$B$6:$F$836,4,0))</f>
        <v>T</v>
      </c>
      <c r="F12" s="106">
        <f>IF(ISERROR(VLOOKUP($C12,'FERDİ SONUÇ'!$B$6:$H$962,6,0)),"",VLOOKUP($C12,'FERDİ SONUÇ'!$B$6:$H$962,6,0))</f>
        <v>1011</v>
      </c>
      <c r="G12" s="42">
        <f>IF(OR(E12="",F12="DQ",F12="DNF",F12="DNS",F12=""),"-",VLOOKUP(C12,'FERDİ SONUÇ'!$B$6:$H$962,7,0))</f>
        <v>7</v>
      </c>
      <c r="H12" s="199">
        <f>IF(A12="","",VLOOKUP(A12,'TAKIM KAYIT'!$B$6:$P$125,13,FALSE))</f>
        <v>15.0007</v>
      </c>
    </row>
    <row r="13" spans="1:8" ht="33.75" customHeight="1">
      <c r="A13" s="217"/>
      <c r="B13" s="14"/>
      <c r="C13" s="96">
        <f>IF(A12="","",INDEX('TAKIM KAYIT'!$D$6:$D$125,MATCH(C12,'TAKIM KAYIT'!$D$6:$D$125,0)+1))</f>
        <v>278</v>
      </c>
      <c r="D13" s="15" t="str">
        <f>IF(ISERROR(VLOOKUP($C13,'START LİSTE'!$B$6:$F$836,2,0)),"",VLOOKUP($C13,'START LİSTE'!$B$6:$F$836,2,0))</f>
        <v>GÜRSEL VELİECEOĞLU</v>
      </c>
      <c r="E13" s="16" t="str">
        <f>IF(ISERROR(VLOOKUP($C13,'START LİSTE'!$B$6:$F$836,4,0)),"",VLOOKUP($C13,'START LİSTE'!$B$6:$F$836,4,0))</f>
        <v>T</v>
      </c>
      <c r="F13" s="106">
        <f>IF(ISERROR(VLOOKUP($C13,'FERDİ SONUÇ'!$B$6:$H$962,6,0)),"",VLOOKUP($C13,'FERDİ SONUÇ'!$B$6:$H$962,6,0))</f>
        <v>1014</v>
      </c>
      <c r="G13" s="42">
        <f>IF(OR(E13="",F13="DQ",F13="DNF",F13="DNS",F13=""),"-",VLOOKUP(C13,'FERDİ SONUÇ'!$B$6:$H$962,7,0))</f>
        <v>8</v>
      </c>
      <c r="H13" s="198"/>
    </row>
    <row r="14" spans="1:8" ht="33.75" customHeight="1">
      <c r="A14" s="216"/>
      <c r="B14" s="7"/>
      <c r="C14" s="95">
        <f>IF(A16="","",INDEX('TAKIM KAYIT'!$D$6:$D$125,MATCH(C16,'TAKIM KAYIT'!$D$6:$D$125,0)-2))</f>
        <v>283</v>
      </c>
      <c r="D14" s="8" t="str">
        <f>IF(ISERROR(VLOOKUP($C14,'START LİSTE'!$B$6:$F$836,2,0)),"",VLOOKUP($C14,'START LİSTE'!$B$6:$F$836,2,0))</f>
        <v>YUNUS EMRE YILMAZ</v>
      </c>
      <c r="E14" s="9" t="str">
        <f>IF(ISERROR(VLOOKUP($C14,'START LİSTE'!$B$6:$F$836,4,0)),"",VLOOKUP($C14,'START LİSTE'!$B$6:$F$836,4,0))</f>
        <v>T</v>
      </c>
      <c r="F14" s="105">
        <f>IF(ISERROR(VLOOKUP($C14,'FERDİ SONUÇ'!$B$6:$H$962,6,0)),"",VLOOKUP($C14,'FERDİ SONUÇ'!$B$6:$H$962,6,0))</f>
        <v>1006</v>
      </c>
      <c r="G14" s="41">
        <f>IF(OR(E14="",F14="DQ",F14="DNF",F14="DNS",F14=""),"-",VLOOKUP(C14,'FERDİ SONUÇ'!$B$6:$H$962,7,0))</f>
        <v>6</v>
      </c>
      <c r="H14" s="196"/>
    </row>
    <row r="15" spans="1:8" ht="33.75" customHeight="1">
      <c r="A15" s="217"/>
      <c r="B15" s="14"/>
      <c r="C15" s="96">
        <f>IF(A16="","",INDEX('TAKIM KAYIT'!$D$6:$D$125,MATCH(C16,'TAKIM KAYIT'!$D$6:$D$125,0)-1))</f>
        <v>284</v>
      </c>
      <c r="D15" s="15" t="str">
        <f>IF(ISERROR(VLOOKUP($C15,'START LİSTE'!$B$6:$F$836,2,0)),"",VLOOKUP($C15,'START LİSTE'!$B$6:$F$836,2,0))</f>
        <v>MÜCAHİT KARABACAK</v>
      </c>
      <c r="E15" s="16" t="str">
        <f>IF(ISERROR(VLOOKUP($C15,'START LİSTE'!$B$6:$F$836,4,0)),"",VLOOKUP($C15,'START LİSTE'!$B$6:$F$836,4,0))</f>
        <v>T</v>
      </c>
      <c r="F15" s="106">
        <f>IF(ISERROR(VLOOKUP($C15,'FERDİ SONUÇ'!$B$6:$H$962,6,0)),"",VLOOKUP($C15,'FERDİ SONUÇ'!$B$6:$H$962,6,0))</f>
        <v>1030</v>
      </c>
      <c r="G15" s="42">
        <f>IF(OR(E15="",F15="DQ",F15="DNF",F15="DNS",F15=""),"-",VLOOKUP(C15,'FERDİ SONUÇ'!$B$6:$H$962,7,0))</f>
        <v>12</v>
      </c>
      <c r="H15" s="198"/>
    </row>
    <row r="16" spans="1:8" ht="33.75" customHeight="1">
      <c r="A16" s="218">
        <f>IF(ISERROR(SMALL('TAKIM KAYIT'!$B$6:$B$125,3)),"",SMALL('TAKIM KAYIT'!$B$6:$B$125,3))</f>
        <v>3</v>
      </c>
      <c r="B16" s="14" t="str">
        <f>IF(A16="","",VLOOKUP(A16,'TAKIM KAYIT'!$B$6:$O$125,2,FALSE))</f>
        <v>NİĞDE-NİĞDE GÜCÜ SK.</v>
      </c>
      <c r="C16" s="96">
        <f>IF(A16="","",VLOOKUP(A16,'TAKIM KAYIT'!$B$6:$O$125,3,FALSE))</f>
        <v>285</v>
      </c>
      <c r="D16" s="15" t="str">
        <f>IF(ISERROR(VLOOKUP($C16,'START LİSTE'!$B$6:$F$836,2,0)),"",VLOOKUP($C16,'START LİSTE'!$B$6:$F$836,2,0))</f>
        <v>AHMET IŞIK</v>
      </c>
      <c r="E16" s="16" t="str">
        <f>IF(ISERROR(VLOOKUP($C16,'START LİSTE'!$B$6:$F$836,4,0)),"",VLOOKUP($C16,'START LİSTE'!$B$6:$F$836,4,0))</f>
        <v>T</v>
      </c>
      <c r="F16" s="106">
        <f>IF(ISERROR(VLOOKUP($C16,'FERDİ SONUÇ'!$B$6:$H$962,6,0)),"",VLOOKUP($C16,'FERDİ SONUÇ'!$B$6:$H$962,6,0))</f>
        <v>1053</v>
      </c>
      <c r="G16" s="42">
        <f>IF(OR(E16="",F16="DQ",F16="DNF",F16="DNS",F16=""),"-",VLOOKUP(C16,'FERDİ SONUÇ'!$B$6:$H$962,7,0))</f>
        <v>14</v>
      </c>
      <c r="H16" s="199">
        <f>IF(A16="","",VLOOKUP(A16,'TAKIM KAYIT'!$B$6:$P$125,13,FALSE))</f>
        <v>32.0014</v>
      </c>
    </row>
    <row r="17" spans="1:8" ht="33.75" customHeight="1">
      <c r="A17" s="217"/>
      <c r="B17" s="14"/>
      <c r="C17" s="96">
        <f>IF(A16="","",INDEX('TAKIM KAYIT'!$D$6:$D$125,MATCH(C16,'TAKIM KAYIT'!$D$6:$D$125,0)+1))</f>
        <v>286</v>
      </c>
      <c r="D17" s="15" t="str">
        <f>IF(ISERROR(VLOOKUP($C17,'START LİSTE'!$B$6:$F$836,2,0)),"",VLOOKUP($C17,'START LİSTE'!$B$6:$F$836,2,0))</f>
        <v>MEHMET CAVDAR</v>
      </c>
      <c r="E17" s="16" t="str">
        <f>IF(ISERROR(VLOOKUP($C17,'START LİSTE'!$B$6:$F$836,4,0)),"",VLOOKUP($C17,'START LİSTE'!$B$6:$F$836,4,0))</f>
        <v>T</v>
      </c>
      <c r="F17" s="106">
        <f>IF(ISERROR(VLOOKUP($C17,'FERDİ SONUÇ'!$B$6:$H$962,6,0)),"",VLOOKUP($C17,'FERDİ SONUÇ'!$B$6:$H$962,6,0))</f>
        <v>1118</v>
      </c>
      <c r="G17" s="42">
        <f>IF(OR(E17="",F17="DQ",F17="DNF",F17="DNS",F17=""),"-",VLOOKUP(C17,'FERDİ SONUÇ'!$B$6:$H$962,7,0))</f>
        <v>15</v>
      </c>
      <c r="H17" s="198"/>
    </row>
    <row r="18" spans="1:8" ht="33.75" customHeight="1">
      <c r="A18" s="216"/>
      <c r="B18" s="7"/>
      <c r="C18" s="95">
        <f>IF(A20="","",INDEX('TAKIM KAYIT'!$D$6:$D$125,MATCH(C20,'TAKIM KAYIT'!$D$6:$D$125,0)-2))</f>
        <v>287</v>
      </c>
      <c r="D18" s="8" t="str">
        <f>IF(ISERROR(VLOOKUP($C18,'START LİSTE'!$B$6:$F$836,2,0)),"",VLOOKUP($C18,'START LİSTE'!$B$6:$F$836,2,0))</f>
        <v>MEHMET TOSUN</v>
      </c>
      <c r="E18" s="9" t="str">
        <f>IF(ISERROR(VLOOKUP($C18,'START LİSTE'!$B$6:$F$836,4,0)),"",VLOOKUP($C18,'START LİSTE'!$B$6:$F$836,4,0))</f>
        <v>T</v>
      </c>
      <c r="F18" s="105">
        <f>IF(ISERROR(VLOOKUP($C18,'FERDİ SONUÇ'!$B$6:$H$962,6,0)),"",VLOOKUP($C18,'FERDİ SONUÇ'!$B$6:$H$962,6,0))</f>
        <v>1305</v>
      </c>
      <c r="G18" s="11">
        <f>IF(OR(E18="",F18="DQ",F18="DNF",F18="DNS",F18=""),"-",VLOOKUP(C18,'FERDİ SONUÇ'!$B$6:$H$962,7,0))</f>
        <v>16</v>
      </c>
      <c r="H18" s="196"/>
    </row>
    <row r="19" spans="1:8" ht="33.75" customHeight="1">
      <c r="A19" s="217"/>
      <c r="B19" s="14"/>
      <c r="C19" s="96">
        <f>IF(A20="","",INDEX('TAKIM KAYIT'!$D$6:$D$125,MATCH(C20,'TAKIM KAYIT'!$D$6:$D$125,0)-1))</f>
        <v>288</v>
      </c>
      <c r="D19" s="15" t="str">
        <f>IF(ISERROR(VLOOKUP($C19,'START LİSTE'!$B$6:$F$836,2,0)),"",VLOOKUP($C19,'START LİSTE'!$B$6:$F$836,2,0))</f>
        <v>MEHMET ŞENOL</v>
      </c>
      <c r="E19" s="16" t="str">
        <f>IF(ISERROR(VLOOKUP($C19,'START LİSTE'!$B$6:$F$836,4,0)),"",VLOOKUP($C19,'START LİSTE'!$B$6:$F$836,4,0))</f>
        <v>T</v>
      </c>
      <c r="F19" s="106">
        <f>IF(ISERROR(VLOOKUP($C19,'FERDİ SONUÇ'!$B$6:$H$962,6,0)),"",VLOOKUP($C19,'FERDİ SONUÇ'!$B$6:$H$962,6,0))</f>
        <v>1014</v>
      </c>
      <c r="G19" s="18">
        <f>IF(OR(E19="",F19="DQ",F19="DNF",F19="DNS",F19=""),"-",VLOOKUP(C19,'FERDİ SONUÇ'!$B$6:$H$962,7,0))</f>
        <v>9</v>
      </c>
      <c r="H19" s="198"/>
    </row>
    <row r="20" spans="1:8" ht="33.75" customHeight="1">
      <c r="A20" s="218">
        <f>IF(ISERROR(SMALL('TAKIM KAYIT'!$B$6:$B$125,4)),"",SMALL('TAKIM KAYIT'!$B$6:$B$125,4))</f>
        <v>4</v>
      </c>
      <c r="B20" s="14" t="str">
        <f>IF(A20="","",VLOOKUP(A20,'TAKIM KAYIT'!$B$6:$O$125,2,FALSE))</f>
        <v>OSMANİYE - GENÇLİK SPOR KÜLÜBÜ</v>
      </c>
      <c r="C20" s="96">
        <f>IF(A20="","",VLOOKUP(A20,'TAKIM KAYIT'!$B$6:$O$125,3,FALSE))</f>
        <v>289</v>
      </c>
      <c r="D20" s="15" t="str">
        <f>IF(ISERROR(VLOOKUP($C20,'START LİSTE'!$B$6:$F$836,2,0)),"",VLOOKUP($C20,'START LİSTE'!$B$6:$F$836,2,0))</f>
        <v>AKİF KARA</v>
      </c>
      <c r="E20" s="16" t="str">
        <f>IF(ISERROR(VLOOKUP($C20,'START LİSTE'!$B$6:$F$836,4,0)),"",VLOOKUP($C20,'START LİSTE'!$B$6:$F$836,4,0))</f>
        <v>T</v>
      </c>
      <c r="F20" s="106">
        <f>IF(ISERROR(VLOOKUP($C20,'FERDİ SONUÇ'!$B$6:$H$962,6,0)),"",VLOOKUP($C20,'FERDİ SONUÇ'!$B$6:$H$962,6,0))</f>
        <v>1041</v>
      </c>
      <c r="G20" s="18">
        <f>IF(OR(E20="",F20="DQ",F20="DNF",F20="DNS",F20=""),"-",VLOOKUP(C20,'FERDİ SONUÇ'!$B$6:$H$962,7,0))</f>
        <v>13</v>
      </c>
      <c r="H20" s="199">
        <f>IF(A20="","",VLOOKUP(A20,'TAKIM KAYIT'!$B$6:$P$125,13,FALSE))</f>
        <v>33.0013</v>
      </c>
    </row>
    <row r="21" spans="1:8" ht="33.75" customHeight="1" thickBot="1">
      <c r="A21" s="219"/>
      <c r="B21" s="220"/>
      <c r="C21" s="221">
        <f>IF(A20="","",INDEX('TAKIM KAYIT'!$D$6:$D$125,MATCH(C20,'TAKIM KAYIT'!$D$6:$D$125,0)+1))</f>
        <v>290</v>
      </c>
      <c r="D21" s="222" t="str">
        <f>IF(ISERROR(VLOOKUP($C21,'START LİSTE'!$B$6:$F$836,2,0)),"",VLOOKUP($C21,'START LİSTE'!$B$6:$F$836,2,0))</f>
        <v>İSA SAVAŞ</v>
      </c>
      <c r="E21" s="223" t="str">
        <f>IF(ISERROR(VLOOKUP($C21,'START LİSTE'!$B$6:$F$836,4,0)),"",VLOOKUP($C21,'START LİSTE'!$B$6:$F$836,4,0))</f>
        <v>T</v>
      </c>
      <c r="F21" s="224">
        <f>IF(ISERROR(VLOOKUP($C21,'FERDİ SONUÇ'!$B$6:$H$962,6,0)),"",VLOOKUP($C21,'FERDİ SONUÇ'!$B$6:$H$962,6,0))</f>
        <v>1022</v>
      </c>
      <c r="G21" s="225">
        <f>IF(OR(E21="",F21="DQ",F21="DNF",F21="DNS",F21=""),"-",VLOOKUP(C21,'FERDİ SONUÇ'!$B$6:$H$962,7,0))</f>
        <v>11</v>
      </c>
      <c r="H21" s="209"/>
    </row>
    <row r="22" spans="1:8" ht="14.25" customHeight="1">
      <c r="A22" s="13"/>
      <c r="B22" s="14"/>
      <c r="C22" s="210">
        <f>IF(A24="","",INDEX('TAKIM KAYIT'!$D$6:$D$125,MATCH(C24,'TAKIM KAYIT'!$D$6:$D$125,0)-2))</f>
      </c>
      <c r="D22" s="211">
        <f>IF(ISERROR(VLOOKUP($C22,'START LİSTE'!$B$6:$F$836,2,0)),"",VLOOKUP($C22,'START LİSTE'!$B$6:$F$836,2,0))</f>
      </c>
      <c r="E22" s="212">
        <f>IF(ISERROR(VLOOKUP($C22,'START LİSTE'!$B$6:$F$836,4,0)),"",VLOOKUP($C22,'START LİSTE'!$B$6:$F$836,4,0))</f>
      </c>
      <c r="F22" s="213">
        <f>IF(ISERROR(VLOOKUP($C22,'FERDİ SONUÇ'!$B$6:$H$962,6,0)),"",VLOOKUP($C22,'FERDİ SONUÇ'!$B$6:$H$962,6,0))</f>
      </c>
      <c r="G22" s="214" t="str">
        <f>IF(OR(E22="",F22="DQ",F22="DNF",F22="DNS",F22=""),"-",VLOOKUP(C22,'FERDİ SONUÇ'!$B$6:$H$962,7,0))</f>
        <v>-</v>
      </c>
      <c r="H22" s="147"/>
    </row>
    <row r="23" spans="1:8" ht="14.25" customHeight="1">
      <c r="A23" s="13"/>
      <c r="B23" s="14"/>
      <c r="C23" s="96">
        <f>IF(A24="","",INDEX('TAKIM KAYIT'!$D$6:$D$125,MATCH(C24,'TAKIM KAYIT'!$D$6:$D$125,0)-1))</f>
      </c>
      <c r="D23" s="15">
        <f>IF(ISERROR(VLOOKUP($C23,'START LİSTE'!$B$6:$F$836,2,0)),"",VLOOKUP($C23,'START LİSTE'!$B$6:$F$836,2,0))</f>
      </c>
      <c r="E23" s="16">
        <f>IF(ISERROR(VLOOKUP($C23,'START LİSTE'!$B$6:$F$836,4,0)),"",VLOOKUP($C23,'START LİSTE'!$B$6:$F$836,4,0))</f>
      </c>
      <c r="F23" s="106">
        <f>IF(ISERROR(VLOOKUP($C23,'FERDİ SONUÇ'!$B$6:$H$962,6,0)),"",VLOOKUP($C23,'FERDİ SONUÇ'!$B$6:$H$962,6,0))</f>
      </c>
      <c r="G23" s="18" t="str">
        <f>IF(OR(E23="",F23="DQ",F23="DNF",F23="DNS",F23=""),"-",VLOOKUP(C23,'FERDİ SONUÇ'!$B$6:$H$962,7,0))</f>
        <v>-</v>
      </c>
      <c r="H23" s="147"/>
    </row>
    <row r="24" spans="1:8" ht="14.25" customHeight="1">
      <c r="A24" s="43">
        <f>IF(ISERROR(SMALL('TAKIM KAYIT'!$B$6:$B$125,5)),"",SMALL('TAKIM KAYIT'!$B$6:$B$125,5))</f>
      </c>
      <c r="B24" s="14">
        <f>IF(A24="","",VLOOKUP(A24,'TAKIM KAYIT'!$B$6:$O$125,2,FALSE))</f>
      </c>
      <c r="C24" s="96">
        <f>IF(A24="","",VLOOKUP(A24,'TAKIM KAYIT'!$B$6:$O$125,3,FALSE))</f>
      </c>
      <c r="D24" s="15">
        <f>IF(ISERROR(VLOOKUP($C24,'START LİSTE'!$B$6:$F$836,2,0)),"",VLOOKUP($C24,'START LİSTE'!$B$6:$F$836,2,0))</f>
      </c>
      <c r="E24" s="16">
        <f>IF(ISERROR(VLOOKUP($C24,'START LİSTE'!$B$6:$F$836,4,0)),"",VLOOKUP($C24,'START LİSTE'!$B$6:$F$836,4,0))</f>
      </c>
      <c r="F24" s="106">
        <f>IF(ISERROR(VLOOKUP($C24,'FERDİ SONUÇ'!$B$6:$H$962,6,0)),"",VLOOKUP($C24,'FERDİ SONUÇ'!$B$6:$H$962,6,0))</f>
      </c>
      <c r="G24" s="18" t="str">
        <f>IF(OR(E24="",F24="DQ",F24="DNF",F24="DNS",F24=""),"-",VLOOKUP(C24,'FERDİ SONUÇ'!$B$6:$H$962,7,0))</f>
        <v>-</v>
      </c>
      <c r="H24" s="143">
        <f>IF(A24="","",VLOOKUP(A24,'TAKIM KAYIT'!$B$6:$P$125,13,FALSE))</f>
      </c>
    </row>
    <row r="25" spans="1:8" ht="14.25" customHeight="1">
      <c r="A25" s="13"/>
      <c r="B25" s="14"/>
      <c r="C25" s="96">
        <f>IF(A24="","",INDEX('TAKIM KAYIT'!$D$6:$D$125,MATCH(C24,'TAKIM KAYIT'!$D$6:$D$125,0)+1))</f>
      </c>
      <c r="D25" s="15">
        <f>IF(ISERROR(VLOOKUP($C25,'START LİSTE'!$B$6:$F$836,2,0)),"",VLOOKUP($C25,'START LİSTE'!$B$6:$F$836,2,0))</f>
      </c>
      <c r="E25" s="16">
        <f>IF(ISERROR(VLOOKUP($C25,'START LİSTE'!$B$6:$F$836,4,0)),"",VLOOKUP($C25,'START LİSTE'!$B$6:$F$836,4,0))</f>
      </c>
      <c r="F25" s="106">
        <f>IF(ISERROR(VLOOKUP($C25,'FERDİ SONUÇ'!$B$6:$H$962,6,0)),"",VLOOKUP($C25,'FERDİ SONUÇ'!$B$6:$H$962,6,0))</f>
      </c>
      <c r="G25" s="18" t="str">
        <f>IF(OR(E25="",F25="DQ",F25="DNF",F25="DNS",F25=""),"-",VLOOKUP(C25,'FERDİ SONUÇ'!$B$6:$H$962,7,0))</f>
        <v>-</v>
      </c>
      <c r="H25" s="147"/>
    </row>
    <row r="26" spans="1:8" ht="14.25" customHeight="1">
      <c r="A26" s="6"/>
      <c r="B26" s="7"/>
      <c r="C26" s="95">
        <f>IF(A28="","",INDEX('TAKIM KAYIT'!$D$6:$D$125,MATCH(C28,'TAKIM KAYIT'!$D$6:$D$125,0)-2))</f>
      </c>
      <c r="D26" s="8">
        <f>IF(ISERROR(VLOOKUP($C26,'START LİSTE'!$B$6:$F$836,2,0)),"",VLOOKUP($C26,'START LİSTE'!$B$6:$F$836,2,0))</f>
      </c>
      <c r="E26" s="9">
        <f>IF(ISERROR(VLOOKUP($C26,'START LİSTE'!$B$6:$F$836,4,0)),"",VLOOKUP($C26,'START LİSTE'!$B$6:$F$836,4,0))</f>
      </c>
      <c r="F26" s="105">
        <f>IF(ISERROR(VLOOKUP($C26,'FERDİ SONUÇ'!$B$6:$H$962,6,0)),"",VLOOKUP($C26,'FERDİ SONUÇ'!$B$6:$H$962,6,0))</f>
      </c>
      <c r="G26" s="11" t="str">
        <f>IF(OR(E26="",F26="DQ",F26="DNF",F26="DNS",F26=""),"-",VLOOKUP(C26,'FERDİ SONUÇ'!$B$6:$H$962,7,0))</f>
        <v>-</v>
      </c>
      <c r="H26" s="146"/>
    </row>
    <row r="27" spans="1:8" ht="14.25" customHeight="1">
      <c r="A27" s="13"/>
      <c r="B27" s="14"/>
      <c r="C27" s="96">
        <f>IF(A28="","",INDEX('TAKIM KAYIT'!$D$6:$D$125,MATCH(C28,'TAKIM KAYIT'!$D$6:$D$125,0)-1))</f>
      </c>
      <c r="D27" s="15">
        <f>IF(ISERROR(VLOOKUP($C27,'START LİSTE'!$B$6:$F$836,2,0)),"",VLOOKUP($C27,'START LİSTE'!$B$6:$F$836,2,0))</f>
      </c>
      <c r="E27" s="16">
        <f>IF(ISERROR(VLOOKUP($C27,'START LİSTE'!$B$6:$F$836,4,0)),"",VLOOKUP($C27,'START LİSTE'!$B$6:$F$836,4,0))</f>
      </c>
      <c r="F27" s="106">
        <f>IF(ISERROR(VLOOKUP($C27,'FERDİ SONUÇ'!$B$6:$H$962,6,0)),"",VLOOKUP($C27,'FERDİ SONUÇ'!$B$6:$H$962,6,0))</f>
      </c>
      <c r="G27" s="18" t="str">
        <f>IF(OR(E27="",F27="DQ",F27="DNF",F27="DNS",F27=""),"-",VLOOKUP(C27,'FERDİ SONUÇ'!$B$6:$H$962,7,0))</f>
        <v>-</v>
      </c>
      <c r="H27" s="147"/>
    </row>
    <row r="28" spans="1:8" ht="14.25" customHeight="1">
      <c r="A28" s="43">
        <f>IF(ISERROR(SMALL('TAKIM KAYIT'!$B$6:$B$125,6)),"",SMALL('TAKIM KAYIT'!$B$6:$B$125,6))</f>
      </c>
      <c r="B28" s="14">
        <f>IF(A28="","",VLOOKUP(A28,'TAKIM KAYIT'!$B$6:$O$125,2,FALSE))</f>
      </c>
      <c r="C28" s="96">
        <f>IF(A28="","",VLOOKUP(A28,'TAKIM KAYIT'!$B$6:$O$125,3,FALSE))</f>
      </c>
      <c r="D28" s="15">
        <f>IF(ISERROR(VLOOKUP($C28,'START LİSTE'!$B$6:$F$836,2,0)),"",VLOOKUP($C28,'START LİSTE'!$B$6:$F$836,2,0))</f>
      </c>
      <c r="E28" s="16">
        <f>IF(ISERROR(VLOOKUP($C28,'START LİSTE'!$B$6:$F$836,4,0)),"",VLOOKUP($C28,'START LİSTE'!$B$6:$F$836,4,0))</f>
      </c>
      <c r="F28" s="106">
        <f>IF(ISERROR(VLOOKUP($C28,'FERDİ SONUÇ'!$B$6:$H$962,6,0)),"",VLOOKUP($C28,'FERDİ SONUÇ'!$B$6:$H$962,6,0))</f>
      </c>
      <c r="G28" s="18" t="str">
        <f>IF(OR(E28="",F28="DQ",F28="DNF",F28="DNS",F28=""),"-",VLOOKUP(C28,'FERDİ SONUÇ'!$B$6:$H$962,7,0))</f>
        <v>-</v>
      </c>
      <c r="H28" s="143">
        <f>IF(A28="","",VLOOKUP(A28,'TAKIM KAYIT'!$B$6:$P$125,13,FALSE))</f>
      </c>
    </row>
    <row r="29" spans="1:8" ht="14.25" customHeight="1">
      <c r="A29" s="13"/>
      <c r="B29" s="14"/>
      <c r="C29" s="96">
        <f>IF(A28="","",INDEX('TAKIM KAYIT'!$D$6:$D$125,MATCH(C28,'TAKIM KAYIT'!$D$6:$D$125,0)+1))</f>
      </c>
      <c r="D29" s="15">
        <f>IF(ISERROR(VLOOKUP($C29,'START LİSTE'!$B$6:$F$836,2,0)),"",VLOOKUP($C29,'START LİSTE'!$B$6:$F$836,2,0))</f>
      </c>
      <c r="E29" s="16">
        <f>IF(ISERROR(VLOOKUP($C29,'START LİSTE'!$B$6:$F$836,4,0)),"",VLOOKUP($C29,'START LİSTE'!$B$6:$F$836,4,0))</f>
      </c>
      <c r="F29" s="106">
        <f>IF(ISERROR(VLOOKUP($C29,'FERDİ SONUÇ'!$B$6:$H$962,6,0)),"",VLOOKUP($C29,'FERDİ SONUÇ'!$B$6:$H$962,6,0))</f>
      </c>
      <c r="G29" s="18" t="str">
        <f>IF(OR(E29="",F29="DQ",F29="DNF",F29="DNS",F29=""),"-",VLOOKUP(C29,'FERDİ SONUÇ'!$B$6:$H$962,7,0))</f>
        <v>-</v>
      </c>
      <c r="H29" s="147"/>
    </row>
    <row r="30" spans="1:8" ht="14.25" customHeight="1">
      <c r="A30" s="6"/>
      <c r="B30" s="7"/>
      <c r="C30" s="95">
        <f>IF(A32="","",INDEX('TAKIM KAYIT'!$D$6:$D$125,MATCH(C32,'TAKIM KAYIT'!$D$6:$D$125,0)-2))</f>
      </c>
      <c r="D30" s="8">
        <f>IF(ISERROR(VLOOKUP($C30,'START LİSTE'!$B$6:$F$836,2,0)),"",VLOOKUP($C30,'START LİSTE'!$B$6:$F$836,2,0))</f>
      </c>
      <c r="E30" s="9">
        <f>IF(ISERROR(VLOOKUP($C30,'START LİSTE'!$B$6:$F$836,4,0)),"",VLOOKUP($C30,'START LİSTE'!$B$6:$F$836,4,0))</f>
      </c>
      <c r="F30" s="105">
        <f>IF(ISERROR(VLOOKUP($C30,'FERDİ SONUÇ'!$B$6:$H$962,6,0)),"",VLOOKUP($C30,'FERDİ SONUÇ'!$B$6:$H$962,6,0))</f>
      </c>
      <c r="G30" s="11" t="str">
        <f>IF(OR(E30="",F30="DQ",F30="DNF",F30="DNS",F30=""),"-",VLOOKUP(C30,'FERDİ SONUÇ'!$B$6:$H$962,7,0))</f>
        <v>-</v>
      </c>
      <c r="H30" s="146"/>
    </row>
    <row r="31" spans="1:8" ht="14.25" customHeight="1">
      <c r="A31" s="13"/>
      <c r="B31" s="14"/>
      <c r="C31" s="96">
        <f>IF(A32="","",INDEX('TAKIM KAYIT'!$D$6:$D$125,MATCH(C32,'TAKIM KAYIT'!$D$6:$D$125,0)-1))</f>
      </c>
      <c r="D31" s="15">
        <f>IF(ISERROR(VLOOKUP($C31,'START LİSTE'!$B$6:$F$836,2,0)),"",VLOOKUP($C31,'START LİSTE'!$B$6:$F$836,2,0))</f>
      </c>
      <c r="E31" s="16">
        <f>IF(ISERROR(VLOOKUP($C31,'START LİSTE'!$B$6:$F$836,4,0)),"",VLOOKUP($C31,'START LİSTE'!$B$6:$F$836,4,0))</f>
      </c>
      <c r="F31" s="106">
        <f>IF(ISERROR(VLOOKUP($C31,'FERDİ SONUÇ'!$B$6:$H$962,6,0)),"",VLOOKUP($C31,'FERDİ SONUÇ'!$B$6:$H$962,6,0))</f>
      </c>
      <c r="G31" s="18" t="str">
        <f>IF(OR(E31="",F31="DQ",F31="DNF",F31="DNS",F31=""),"-",VLOOKUP(C31,'FERDİ SONUÇ'!$B$6:$H$962,7,0))</f>
        <v>-</v>
      </c>
      <c r="H31" s="147"/>
    </row>
    <row r="32" spans="1:8" ht="14.25" customHeight="1">
      <c r="A32" s="43">
        <f>IF(ISERROR(SMALL('TAKIM KAYIT'!$B$6:$B$125,7)),"",SMALL('TAKIM KAYIT'!$B$6:$B$125,7))</f>
      </c>
      <c r="B32" s="14">
        <f>IF(A32="","",VLOOKUP(A32,'TAKIM KAYIT'!$B$6:$O$125,2,FALSE))</f>
      </c>
      <c r="C32" s="96">
        <f>IF(A32="","",VLOOKUP(A32,'TAKIM KAYIT'!$B$6:$O$125,3,FALSE))</f>
      </c>
      <c r="D32" s="15">
        <f>IF(ISERROR(VLOOKUP($C32,'START LİSTE'!$B$6:$F$836,2,0)),"",VLOOKUP($C32,'START LİSTE'!$B$6:$F$836,2,0))</f>
      </c>
      <c r="E32" s="16">
        <f>IF(ISERROR(VLOOKUP($C32,'START LİSTE'!$B$6:$F$836,4,0)),"",VLOOKUP($C32,'START LİSTE'!$B$6:$F$836,4,0))</f>
      </c>
      <c r="F32" s="106">
        <f>IF(ISERROR(VLOOKUP($C32,'FERDİ SONUÇ'!$B$6:$H$962,6,0)),"",VLOOKUP($C32,'FERDİ SONUÇ'!$B$6:$H$962,6,0))</f>
      </c>
      <c r="G32" s="18" t="str">
        <f>IF(OR(E32="",F32="DQ",F32="DNF",F32="DNS",F32=""),"-",VLOOKUP(C32,'FERDİ SONUÇ'!$B$6:$H$962,7,0))</f>
        <v>-</v>
      </c>
      <c r="H32" s="143">
        <f>IF(A32="","",VLOOKUP(A32,'TAKIM KAYIT'!$B$6:$P$125,13,FALSE))</f>
      </c>
    </row>
    <row r="33" spans="1:8" ht="14.25" customHeight="1">
      <c r="A33" s="13"/>
      <c r="B33" s="14"/>
      <c r="C33" s="96">
        <f>IF(A32="","",INDEX('TAKIM KAYIT'!$D$6:$D$125,MATCH(C32,'TAKIM KAYIT'!$D$6:$D$125,0)+1))</f>
      </c>
      <c r="D33" s="15">
        <f>IF(ISERROR(VLOOKUP($C33,'START LİSTE'!$B$6:$F$836,2,0)),"",VLOOKUP($C33,'START LİSTE'!$B$6:$F$836,2,0))</f>
      </c>
      <c r="E33" s="16">
        <f>IF(ISERROR(VLOOKUP($C33,'START LİSTE'!$B$6:$F$836,4,0)),"",VLOOKUP($C33,'START LİSTE'!$B$6:$F$836,4,0))</f>
      </c>
      <c r="F33" s="106">
        <f>IF(ISERROR(VLOOKUP($C33,'FERDİ SONUÇ'!$B$6:$H$962,6,0)),"",VLOOKUP($C33,'FERDİ SONUÇ'!$B$6:$H$962,6,0))</f>
      </c>
      <c r="G33" s="18" t="str">
        <f>IF(OR(E33="",F33="DQ",F33="DNF",F33="DNS",F33=""),"-",VLOOKUP(C33,'FERDİ SONUÇ'!$B$6:$H$962,7,0))</f>
        <v>-</v>
      </c>
      <c r="H33" s="147"/>
    </row>
    <row r="34" spans="1:8" ht="14.25" customHeight="1">
      <c r="A34" s="6"/>
      <c r="B34" s="7"/>
      <c r="C34" s="95">
        <f>IF(A36="","",INDEX('TAKIM KAYIT'!$D$6:$D$125,MATCH(C36,'TAKIM KAYIT'!$D$6:$D$125,0)-2))</f>
      </c>
      <c r="D34" s="8">
        <f>IF(ISERROR(VLOOKUP($C34,'START LİSTE'!$B$6:$F$836,2,0)),"",VLOOKUP($C34,'START LİSTE'!$B$6:$F$836,2,0))</f>
      </c>
      <c r="E34" s="9">
        <f>IF(ISERROR(VLOOKUP($C34,'START LİSTE'!$B$6:$F$836,4,0)),"",VLOOKUP($C34,'START LİSTE'!$B$6:$F$836,4,0))</f>
      </c>
      <c r="F34" s="105">
        <f>IF(ISERROR(VLOOKUP($C34,'FERDİ SONUÇ'!$B$6:$H$962,6,0)),"",VLOOKUP($C34,'FERDİ SONUÇ'!$B$6:$H$962,6,0))</f>
      </c>
      <c r="G34" s="11" t="str">
        <f>IF(OR(E34="",F34="DQ",F34="DNF",F34="DNS",F34=""),"-",VLOOKUP(C34,'FERDİ SONUÇ'!$B$6:$H$962,7,0))</f>
        <v>-</v>
      </c>
      <c r="H34" s="146"/>
    </row>
    <row r="35" spans="1:8" ht="14.25" customHeight="1">
      <c r="A35" s="13"/>
      <c r="B35" s="14"/>
      <c r="C35" s="96">
        <f>IF(A36="","",INDEX('TAKIM KAYIT'!$D$6:$D$125,MATCH(C36,'TAKIM KAYIT'!$D$6:$D$125,0)-1))</f>
      </c>
      <c r="D35" s="15">
        <f>IF(ISERROR(VLOOKUP($C35,'START LİSTE'!$B$6:$F$836,2,0)),"",VLOOKUP($C35,'START LİSTE'!$B$6:$F$836,2,0))</f>
      </c>
      <c r="E35" s="16">
        <f>IF(ISERROR(VLOOKUP($C35,'START LİSTE'!$B$6:$F$836,4,0)),"",VLOOKUP($C35,'START LİSTE'!$B$6:$F$836,4,0))</f>
      </c>
      <c r="F35" s="106">
        <f>IF(ISERROR(VLOOKUP($C35,'FERDİ SONUÇ'!$B$6:$H$962,6,0)),"",VLOOKUP($C35,'FERDİ SONUÇ'!$B$6:$H$962,6,0))</f>
      </c>
      <c r="G35" s="18" t="str">
        <f>IF(OR(E35="",F35="DQ",F35="DNF",F35="DNS",F35=""),"-",VLOOKUP(C35,'FERDİ SONUÇ'!$B$6:$H$962,7,0))</f>
        <v>-</v>
      </c>
      <c r="H35" s="147"/>
    </row>
    <row r="36" spans="1:8" ht="14.25" customHeight="1">
      <c r="A36" s="43">
        <f>IF(ISERROR(SMALL('TAKIM KAYIT'!$B$6:$B$125,8)),"",SMALL('TAKIM KAYIT'!$B$6:$B$125,8))</f>
      </c>
      <c r="B36" s="14">
        <f>IF(A36="","",VLOOKUP(A36,'TAKIM KAYIT'!$B$6:$O$125,2,FALSE))</f>
      </c>
      <c r="C36" s="96">
        <f>IF(A36="","",VLOOKUP(A36,'TAKIM KAYIT'!$B$6:$O$125,3,FALSE))</f>
      </c>
      <c r="D36" s="15">
        <f>IF(ISERROR(VLOOKUP($C36,'START LİSTE'!$B$6:$F$836,2,0)),"",VLOOKUP($C36,'START LİSTE'!$B$6:$F$836,2,0))</f>
      </c>
      <c r="E36" s="16">
        <f>IF(ISERROR(VLOOKUP($C36,'START LİSTE'!$B$6:$F$836,4,0)),"",VLOOKUP($C36,'START LİSTE'!$B$6:$F$836,4,0))</f>
      </c>
      <c r="F36" s="106">
        <f>IF(ISERROR(VLOOKUP($C36,'FERDİ SONUÇ'!$B$6:$H$962,6,0)),"",VLOOKUP($C36,'FERDİ SONUÇ'!$B$6:$H$962,6,0))</f>
      </c>
      <c r="G36" s="18" t="str">
        <f>IF(OR(E36="",F36="DQ",F36="DNF",F36="DNS",F36=""),"-",VLOOKUP(C36,'FERDİ SONUÇ'!$B$6:$H$962,7,0))</f>
        <v>-</v>
      </c>
      <c r="H36" s="143">
        <f>IF(A36="","",VLOOKUP(A36,'TAKIM KAYIT'!$B$6:$P$125,13,FALSE))</f>
      </c>
    </row>
    <row r="37" spans="1:8" ht="14.25" customHeight="1">
      <c r="A37" s="21"/>
      <c r="B37" s="22"/>
      <c r="C37" s="99">
        <f>IF(A36="","",INDEX('TAKIM KAYIT'!$D$6:$D$125,MATCH(C36,'TAKIM KAYIT'!$D$6:$D$125,0)+1))</f>
      </c>
      <c r="D37" s="23">
        <f>IF(ISERROR(VLOOKUP($C37,'START LİSTE'!$B$6:$F$836,2,0)),"",VLOOKUP($C37,'START LİSTE'!$B$6:$F$836,2,0))</f>
      </c>
      <c r="E37" s="24">
        <f>IF(ISERROR(VLOOKUP($C37,'START LİSTE'!$B$6:$F$836,4,0)),"",VLOOKUP($C37,'START LİSTE'!$B$6:$F$836,4,0))</f>
      </c>
      <c r="F37" s="107">
        <f>IF(ISERROR(VLOOKUP($C37,'FERDİ SONUÇ'!$B$6:$H$962,6,0)),"",VLOOKUP($C37,'FERDİ SONUÇ'!$B$6:$H$962,6,0))</f>
      </c>
      <c r="G37" s="25" t="str">
        <f>IF(OR(E37="",F37="DQ",F37="DNF",F37="DNS",F37=""),"-",VLOOKUP(C37,'FERDİ SONUÇ'!$B$6:$H$962,7,0))</f>
        <v>-</v>
      </c>
      <c r="H37" s="148"/>
    </row>
    <row r="38" spans="1:8" ht="14.25" customHeight="1">
      <c r="A38" s="6"/>
      <c r="B38" s="7"/>
      <c r="C38" s="95">
        <f>IF(A40="","",INDEX('TAKIM KAYIT'!$D$6:$D$125,MATCH(C40,'TAKIM KAYIT'!$D$6:$D$125,0)-2))</f>
      </c>
      <c r="D38" s="8">
        <f>IF(ISERROR(VLOOKUP($C38,'START LİSTE'!$B$6:$F$836,2,0)),"",VLOOKUP($C38,'START LİSTE'!$B$6:$F$836,2,0))</f>
      </c>
      <c r="E38" s="9">
        <f>IF(ISERROR(VLOOKUP($C38,'START LİSTE'!$B$6:$F$836,4,0)),"",VLOOKUP($C38,'START LİSTE'!$B$6:$F$836,4,0))</f>
      </c>
      <c r="F38" s="105">
        <f>IF(ISERROR(VLOOKUP($C38,'FERDİ SONUÇ'!$B$6:$H$962,6,0)),"",VLOOKUP($C38,'FERDİ SONUÇ'!$B$6:$H$962,6,0))</f>
      </c>
      <c r="G38" s="11" t="str">
        <f>IF(OR(E38="",F38="DQ",F38="DNF",F38="DNS",F38=""),"-",VLOOKUP(C38,'FERDİ SONUÇ'!$B$6:$H$962,7,0))</f>
        <v>-</v>
      </c>
      <c r="H38" s="146"/>
    </row>
    <row r="39" spans="1:8" ht="14.25" customHeight="1">
      <c r="A39" s="13"/>
      <c r="B39" s="14"/>
      <c r="C39" s="96">
        <f>IF(A40="","",INDEX('TAKIM KAYIT'!$D$6:$D$125,MATCH(C40,'TAKIM KAYIT'!$D$6:$D$125,0)-1))</f>
      </c>
      <c r="D39" s="15">
        <f>IF(ISERROR(VLOOKUP($C39,'START LİSTE'!$B$6:$F$836,2,0)),"",VLOOKUP($C39,'START LİSTE'!$B$6:$F$836,2,0))</f>
      </c>
      <c r="E39" s="16">
        <f>IF(ISERROR(VLOOKUP($C39,'START LİSTE'!$B$6:$F$836,4,0)),"",VLOOKUP($C39,'START LİSTE'!$B$6:$F$836,4,0))</f>
      </c>
      <c r="F39" s="106">
        <f>IF(ISERROR(VLOOKUP($C39,'FERDİ SONUÇ'!$B$6:$H$962,6,0)),"",VLOOKUP($C39,'FERDİ SONUÇ'!$B$6:$H$962,6,0))</f>
      </c>
      <c r="G39" s="18" t="str">
        <f>IF(OR(E39="",F39="DQ",F39="DNF",F39="DNS",F39=""),"-",VLOOKUP(C39,'FERDİ SONUÇ'!$B$6:$H$962,7,0))</f>
        <v>-</v>
      </c>
      <c r="H39" s="147"/>
    </row>
    <row r="40" spans="1:8" ht="14.25" customHeight="1">
      <c r="A40" s="43">
        <f>IF(ISERROR(SMALL('TAKIM KAYIT'!$B$6:$B$125,9)),"",SMALL('TAKIM KAYIT'!$B$6:$B$125,9))</f>
      </c>
      <c r="B40" s="14">
        <f>IF(A40="","",VLOOKUP(A40,'TAKIM KAYIT'!$B$6:$O$125,2,FALSE))</f>
      </c>
      <c r="C40" s="96">
        <f>IF(A40="","",VLOOKUP(A40,'TAKIM KAYIT'!$B$6:$O$125,3,FALSE))</f>
      </c>
      <c r="D40" s="15">
        <f>IF(ISERROR(VLOOKUP($C40,'START LİSTE'!$B$6:$F$836,2,0)),"",VLOOKUP($C40,'START LİSTE'!$B$6:$F$836,2,0))</f>
      </c>
      <c r="E40" s="16">
        <f>IF(ISERROR(VLOOKUP($C40,'START LİSTE'!$B$6:$F$836,4,0)),"",VLOOKUP($C40,'START LİSTE'!$B$6:$F$836,4,0))</f>
      </c>
      <c r="F40" s="106">
        <f>IF(ISERROR(VLOOKUP($C40,'FERDİ SONUÇ'!$B$6:$H$962,6,0)),"",VLOOKUP($C40,'FERDİ SONUÇ'!$B$6:$H$962,6,0))</f>
      </c>
      <c r="G40" s="18" t="str">
        <f>IF(OR(E40="",F40="DQ",F40="DNF",F40="DNS",F40=""),"-",VLOOKUP(C40,'FERDİ SONUÇ'!$B$6:$H$962,7,0))</f>
        <v>-</v>
      </c>
      <c r="H40" s="143">
        <f>IF(A40="","",VLOOKUP(A40,'TAKIM KAYIT'!$B$6:$P$125,13,FALSE))</f>
      </c>
    </row>
    <row r="41" spans="1:8" ht="14.25" customHeight="1">
      <c r="A41" s="13"/>
      <c r="B41" s="14"/>
      <c r="C41" s="96">
        <f>IF(A40="","",INDEX('TAKIM KAYIT'!$D$6:$D$125,MATCH(C40,'TAKIM KAYIT'!$D$6:$D$125,0)+1))</f>
      </c>
      <c r="D41" s="15">
        <f>IF(ISERROR(VLOOKUP($C41,'START LİSTE'!$B$6:$F$836,2,0)),"",VLOOKUP($C41,'START LİSTE'!$B$6:$F$836,2,0))</f>
      </c>
      <c r="E41" s="16">
        <f>IF(ISERROR(VLOOKUP($C41,'START LİSTE'!$B$6:$F$836,4,0)),"",VLOOKUP($C41,'START LİSTE'!$B$6:$F$836,4,0))</f>
      </c>
      <c r="F41" s="106">
        <f>IF(ISERROR(VLOOKUP($C41,'FERDİ SONUÇ'!$B$6:$H$962,6,0)),"",VLOOKUP($C41,'FERDİ SONUÇ'!$B$6:$H$962,6,0))</f>
      </c>
      <c r="G41" s="18" t="str">
        <f>IF(OR(E41="",F41="DQ",F41="DNF",F41="DNS",F41=""),"-",VLOOKUP(C41,'FERDİ SONUÇ'!$B$6:$H$962,7,0))</f>
        <v>-</v>
      </c>
      <c r="H41" s="147"/>
    </row>
    <row r="42" spans="1:8" ht="14.25" customHeight="1">
      <c r="A42" s="6"/>
      <c r="B42" s="7"/>
      <c r="C42" s="95">
        <f>IF(A44="","",INDEX('TAKIM KAYIT'!$D$6:$D$125,MATCH(C44,'TAKIM KAYIT'!$D$6:$D$125,0)-2))</f>
      </c>
      <c r="D42" s="8">
        <f>IF(ISERROR(VLOOKUP($C42,'START LİSTE'!$B$6:$F$836,2,0)),"",VLOOKUP($C42,'START LİSTE'!$B$6:$F$836,2,0))</f>
      </c>
      <c r="E42" s="9">
        <f>IF(ISERROR(VLOOKUP($C42,'START LİSTE'!$B$6:$F$836,4,0)),"",VLOOKUP($C42,'START LİSTE'!$B$6:$F$836,4,0))</f>
      </c>
      <c r="F42" s="105">
        <f>IF(ISERROR(VLOOKUP($C42,'FERDİ SONUÇ'!$B$6:$H$962,6,0)),"",VLOOKUP($C42,'FERDİ SONUÇ'!$B$6:$H$962,6,0))</f>
      </c>
      <c r="G42" s="11" t="str">
        <f>IF(OR(E42="",F42="DQ",F42="DNF",F42="DNS",F42=""),"-",VLOOKUP(C42,'FERDİ SONUÇ'!$B$6:$H$962,7,0))</f>
        <v>-</v>
      </c>
      <c r="H42" s="146"/>
    </row>
    <row r="43" spans="1:8" ht="14.25" customHeight="1">
      <c r="A43" s="13"/>
      <c r="B43" s="14"/>
      <c r="C43" s="96">
        <f>IF(A44="","",INDEX('TAKIM KAYIT'!$D$6:$D$125,MATCH(C44,'TAKIM KAYIT'!$D$6:$D$125,0)-1))</f>
      </c>
      <c r="D43" s="15">
        <f>IF(ISERROR(VLOOKUP($C43,'START LİSTE'!$B$6:$F$836,2,0)),"",VLOOKUP($C43,'START LİSTE'!$B$6:$F$836,2,0))</f>
      </c>
      <c r="E43" s="16">
        <f>IF(ISERROR(VLOOKUP($C43,'START LİSTE'!$B$6:$F$836,4,0)),"",VLOOKUP($C43,'START LİSTE'!$B$6:$F$836,4,0))</f>
      </c>
      <c r="F43" s="106">
        <f>IF(ISERROR(VLOOKUP($C43,'FERDİ SONUÇ'!$B$6:$H$962,6,0)),"",VLOOKUP($C43,'FERDİ SONUÇ'!$B$6:$H$962,6,0))</f>
      </c>
      <c r="G43" s="18" t="str">
        <f>IF(OR(E43="",F43="DQ",F43="DNF",F43="DNS",F43=""),"-",VLOOKUP(C43,'FERDİ SONUÇ'!$B$6:$H$962,7,0))</f>
        <v>-</v>
      </c>
      <c r="H43" s="147"/>
    </row>
    <row r="44" spans="1:8" ht="14.25" customHeight="1">
      <c r="A44" s="58">
        <f>IF(ISERROR(SMALL('TAKIM KAYIT'!$B$6:$B$125,10)),"",SMALL('TAKIM KAYIT'!$B$6:$B$125,10))</f>
      </c>
      <c r="B44" s="14">
        <f>IF(A44="","",VLOOKUP(A44,'TAKIM KAYIT'!$B$6:$O$125,2,FALSE))</f>
      </c>
      <c r="C44" s="96">
        <f>IF(A44="","",VLOOKUP(A44,'TAKIM KAYIT'!$B$6:$O$125,3,FALSE))</f>
      </c>
      <c r="D44" s="15">
        <f>IF(ISERROR(VLOOKUP($C44,'START LİSTE'!$B$6:$F$836,2,0)),"",VLOOKUP($C44,'START LİSTE'!$B$6:$F$836,2,0))</f>
      </c>
      <c r="E44" s="16">
        <f>IF(ISERROR(VLOOKUP($C44,'START LİSTE'!$B$6:$F$836,4,0)),"",VLOOKUP($C44,'START LİSTE'!$B$6:$F$836,4,0))</f>
      </c>
      <c r="F44" s="106">
        <f>IF(ISERROR(VLOOKUP($C44,'FERDİ SONUÇ'!$B$6:$H$962,6,0)),"",VLOOKUP($C44,'FERDİ SONUÇ'!$B$6:$H$962,6,0))</f>
      </c>
      <c r="G44" s="18" t="str">
        <f>IF(OR(E44="",F44="DQ",F44="DNF",F44="DNS",F44=""),"-",VLOOKUP(C44,'FERDİ SONUÇ'!$B$6:$H$962,7,0))</f>
        <v>-</v>
      </c>
      <c r="H44" s="143">
        <f>IF(A44="","",VLOOKUP(A44,'TAKIM KAYIT'!$B$6:$P$125,13,FALSE))</f>
      </c>
    </row>
    <row r="45" spans="1:8" ht="14.25" customHeight="1">
      <c r="A45" s="13"/>
      <c r="B45" s="14"/>
      <c r="C45" s="96">
        <f>IF(A44="","",INDEX('TAKIM KAYIT'!$D$6:$D$125,MATCH(C44,'TAKIM KAYIT'!$D$6:$D$125,0)+1))</f>
      </c>
      <c r="D45" s="15">
        <f>IF(ISERROR(VLOOKUP($C45,'START LİSTE'!$B$6:$F$836,2,0)),"",VLOOKUP($C45,'START LİSTE'!$B$6:$F$836,2,0))</f>
      </c>
      <c r="E45" s="16">
        <f>IF(ISERROR(VLOOKUP($C45,'START LİSTE'!$B$6:$F$836,4,0)),"",VLOOKUP($C45,'START LİSTE'!$B$6:$F$836,4,0))</f>
      </c>
      <c r="F45" s="106">
        <f>IF(ISERROR(VLOOKUP($C45,'FERDİ SONUÇ'!$B$6:$H$962,6,0)),"",VLOOKUP($C45,'FERDİ SONUÇ'!$B$6:$H$962,6,0))</f>
      </c>
      <c r="G45" s="18" t="str">
        <f>IF(OR(E45="",F45="DQ",F45="DNF",F45="DNS",F45=""),"-",VLOOKUP(C45,'FERDİ SONUÇ'!$B$6:$H$962,7,0))</f>
        <v>-</v>
      </c>
      <c r="H45" s="147"/>
    </row>
    <row r="46" spans="1:8" ht="14.25" customHeight="1">
      <c r="A46" s="6"/>
      <c r="B46" s="7"/>
      <c r="C46" s="95">
        <f>IF(A48="","",INDEX('TAKIM KAYIT'!$D$6:$D$125,MATCH(C48,'TAKIM KAYIT'!$D$6:$D$125,0)-2))</f>
      </c>
      <c r="D46" s="8">
        <f>IF(ISERROR(VLOOKUP($C46,'START LİSTE'!$B$6:$F$836,2,0)),"",VLOOKUP($C46,'START LİSTE'!$B$6:$F$836,2,0))</f>
      </c>
      <c r="E46" s="9">
        <f>IF(ISERROR(VLOOKUP($C46,'START LİSTE'!$B$6:$F$836,4,0)),"",VLOOKUP($C46,'START LİSTE'!$B$6:$F$836,4,0))</f>
      </c>
      <c r="F46" s="105">
        <f>IF(ISERROR(VLOOKUP($C46,'FERDİ SONUÇ'!$B$6:$H$962,6,0)),"",VLOOKUP($C46,'FERDİ SONUÇ'!$B$6:$H$962,6,0))</f>
      </c>
      <c r="G46" s="11" t="str">
        <f>IF(OR(E46="",F46="DQ",F46="DNF",F46="DNS",F46=""),"-",VLOOKUP(C46,'FERDİ SONUÇ'!$B$6:$H$962,7,0))</f>
        <v>-</v>
      </c>
      <c r="H46" s="146"/>
    </row>
    <row r="47" spans="1:8" ht="14.25" customHeight="1">
      <c r="A47" s="13"/>
      <c r="B47" s="14"/>
      <c r="C47" s="96">
        <f>IF(A48="","",INDEX('TAKIM KAYIT'!$D$6:$D$125,MATCH(C48,'TAKIM KAYIT'!$D$6:$D$125,0)-1))</f>
      </c>
      <c r="D47" s="15">
        <f>IF(ISERROR(VLOOKUP($C47,'START LİSTE'!$B$6:$F$836,2,0)),"",VLOOKUP($C47,'START LİSTE'!$B$6:$F$836,2,0))</f>
      </c>
      <c r="E47" s="16">
        <f>IF(ISERROR(VLOOKUP($C47,'START LİSTE'!$B$6:$F$836,4,0)),"",VLOOKUP($C47,'START LİSTE'!$B$6:$F$836,4,0))</f>
      </c>
      <c r="F47" s="106">
        <f>IF(ISERROR(VLOOKUP($C47,'FERDİ SONUÇ'!$B$6:$H$962,6,0)),"",VLOOKUP($C47,'FERDİ SONUÇ'!$B$6:$H$962,6,0))</f>
      </c>
      <c r="G47" s="18" t="str">
        <f>IF(OR(E47="",F47="DQ",F47="DNF",F47="DNS",F47=""),"-",VLOOKUP(C47,'FERDİ SONUÇ'!$B$6:$H$962,7,0))</f>
        <v>-</v>
      </c>
      <c r="H47" s="147"/>
    </row>
    <row r="48" spans="1:8" ht="14.25" customHeight="1">
      <c r="A48" s="58">
        <f>IF(ISERROR(SMALL('TAKIM KAYIT'!$B$6:$B$125,11)),"",SMALL('TAKIM KAYIT'!$B$6:$B$125,11))</f>
      </c>
      <c r="B48" s="14">
        <f>IF(A48="","",VLOOKUP(A48,'TAKIM KAYIT'!$B$6:$O$125,2,FALSE))</f>
      </c>
      <c r="C48" s="96">
        <f>IF(A48="","",VLOOKUP(A48,'TAKIM KAYIT'!$B$6:$O$125,3,FALSE))</f>
      </c>
      <c r="D48" s="15">
        <f>IF(ISERROR(VLOOKUP($C48,'START LİSTE'!$B$6:$F$836,2,0)),"",VLOOKUP($C48,'START LİSTE'!$B$6:$F$836,2,0))</f>
      </c>
      <c r="E48" s="16">
        <f>IF(ISERROR(VLOOKUP($C48,'START LİSTE'!$B$6:$F$836,4,0)),"",VLOOKUP($C48,'START LİSTE'!$B$6:$F$836,4,0))</f>
      </c>
      <c r="F48" s="106">
        <f>IF(ISERROR(VLOOKUP($C48,'FERDİ SONUÇ'!$B$6:$H$962,6,0)),"",VLOOKUP($C48,'FERDİ SONUÇ'!$B$6:$H$962,6,0))</f>
      </c>
      <c r="G48" s="18" t="str">
        <f>IF(OR(E48="",F48="DQ",F48="DNF",F48="DNS",F48=""),"-",VLOOKUP(C48,'FERDİ SONUÇ'!$B$6:$H$962,7,0))</f>
        <v>-</v>
      </c>
      <c r="H48" s="143">
        <f>IF(A48="","",VLOOKUP(A48,'TAKIM KAYIT'!$B$6:$P$125,13,FALSE))</f>
      </c>
    </row>
    <row r="49" spans="1:8" ht="14.25" customHeight="1">
      <c r="A49" s="13"/>
      <c r="B49" s="14"/>
      <c r="C49" s="96">
        <f>IF(A48="","",INDEX('TAKIM KAYIT'!$D$6:$D$125,MATCH(C48,'TAKIM KAYIT'!$D$6:$D$125,0)+1))</f>
      </c>
      <c r="D49" s="15">
        <f>IF(ISERROR(VLOOKUP($C49,'START LİSTE'!$B$6:$F$836,2,0)),"",VLOOKUP($C49,'START LİSTE'!$B$6:$F$836,2,0))</f>
      </c>
      <c r="E49" s="16">
        <f>IF(ISERROR(VLOOKUP($C49,'START LİSTE'!$B$6:$F$836,4,0)),"",VLOOKUP($C49,'START LİSTE'!$B$6:$F$836,4,0))</f>
      </c>
      <c r="F49" s="106">
        <f>IF(ISERROR(VLOOKUP($C49,'FERDİ SONUÇ'!$B$6:$H$962,6,0)),"",VLOOKUP($C49,'FERDİ SONUÇ'!$B$6:$H$962,6,0))</f>
      </c>
      <c r="G49" s="18" t="str">
        <f>IF(OR(E49="",F49="DQ",F49="DNF",F49="DNS",F49=""),"-",VLOOKUP(C49,'FERDİ SONUÇ'!$B$6:$H$962,7,0))</f>
        <v>-</v>
      </c>
      <c r="H49" s="147"/>
    </row>
    <row r="50" spans="1:8" ht="14.25" customHeight="1">
      <c r="A50" s="6"/>
      <c r="B50" s="7"/>
      <c r="C50" s="95">
        <f>IF(A52="","",INDEX('TAKIM KAYIT'!$D$6:$D$125,MATCH(C52,'TAKIM KAYIT'!$D$6:$D$125,0)-2))</f>
      </c>
      <c r="D50" s="8">
        <f>IF(ISERROR(VLOOKUP($C50,'START LİSTE'!$B$6:$F$836,2,0)),"",VLOOKUP($C50,'START LİSTE'!$B$6:$F$836,2,0))</f>
      </c>
      <c r="E50" s="9">
        <f>IF(ISERROR(VLOOKUP($C50,'START LİSTE'!$B$6:$F$836,4,0)),"",VLOOKUP($C50,'START LİSTE'!$B$6:$F$836,4,0))</f>
      </c>
      <c r="F50" s="105">
        <f>IF(ISERROR(VLOOKUP($C50,'FERDİ SONUÇ'!$B$6:$H$962,6,0)),"",VLOOKUP($C50,'FERDİ SONUÇ'!$B$6:$H$962,6,0))</f>
      </c>
      <c r="G50" s="11" t="str">
        <f>IF(OR(E50="",F50="DQ",F50="DNF",F50="DNS",F50=""),"-",VLOOKUP(C50,'FERDİ SONUÇ'!$B$6:$H$962,7,0))</f>
        <v>-</v>
      </c>
      <c r="H50" s="146"/>
    </row>
    <row r="51" spans="1:8" ht="14.25" customHeight="1">
      <c r="A51" s="13"/>
      <c r="B51" s="14"/>
      <c r="C51" s="96">
        <f>IF(A52="","",INDEX('TAKIM KAYIT'!$D$6:$D$125,MATCH(C52,'TAKIM KAYIT'!$D$6:$D$125,0)-1))</f>
      </c>
      <c r="D51" s="15">
        <f>IF(ISERROR(VLOOKUP($C51,'START LİSTE'!$B$6:$F$836,2,0)),"",VLOOKUP($C51,'START LİSTE'!$B$6:$F$836,2,0))</f>
      </c>
      <c r="E51" s="16">
        <f>IF(ISERROR(VLOOKUP($C51,'START LİSTE'!$B$6:$F$836,4,0)),"",VLOOKUP($C51,'START LİSTE'!$B$6:$F$836,4,0))</f>
      </c>
      <c r="F51" s="106">
        <f>IF(ISERROR(VLOOKUP($C51,'FERDİ SONUÇ'!$B$6:$H$962,6,0)),"",VLOOKUP($C51,'FERDİ SONUÇ'!$B$6:$H$962,6,0))</f>
      </c>
      <c r="G51" s="18" t="str">
        <f>IF(OR(E51="",F51="DQ",F51="DNF",F51="DNS",F51=""),"-",VLOOKUP(C51,'FERDİ SONUÇ'!$B$6:$H$962,7,0))</f>
        <v>-</v>
      </c>
      <c r="H51" s="147"/>
    </row>
    <row r="52" spans="1:8" ht="14.25" customHeight="1">
      <c r="A52" s="58">
        <f>IF(ISERROR(SMALL('TAKIM KAYIT'!$B$6:$B$125,12)),"",SMALL('TAKIM KAYIT'!$B$6:$B$125,12))</f>
      </c>
      <c r="B52" s="14">
        <f>IF(A52="","",VLOOKUP(A52,'TAKIM KAYIT'!$B$6:$O$125,2,FALSE))</f>
      </c>
      <c r="C52" s="96">
        <f>IF(A52="","",VLOOKUP(A52,'TAKIM KAYIT'!$B$6:$O$125,3,FALSE))</f>
      </c>
      <c r="D52" s="15">
        <f>IF(ISERROR(VLOOKUP($C52,'START LİSTE'!$B$6:$F$836,2,0)),"",VLOOKUP($C52,'START LİSTE'!$B$6:$F$836,2,0))</f>
      </c>
      <c r="E52" s="16">
        <f>IF(ISERROR(VLOOKUP($C52,'START LİSTE'!$B$6:$F$836,4,0)),"",VLOOKUP($C52,'START LİSTE'!$B$6:$F$836,4,0))</f>
      </c>
      <c r="F52" s="106">
        <f>IF(ISERROR(VLOOKUP($C52,'FERDİ SONUÇ'!$B$6:$H$962,6,0)),"",VLOOKUP($C52,'FERDİ SONUÇ'!$B$6:$H$962,6,0))</f>
      </c>
      <c r="G52" s="18" t="str">
        <f>IF(OR(E52="",F52="DQ",F52="DNF",F52="DNS",F52=""),"-",VLOOKUP(C52,'FERDİ SONUÇ'!$B$6:$H$962,7,0))</f>
        <v>-</v>
      </c>
      <c r="H52" s="143">
        <f>IF(A52="","",VLOOKUP(A52,'TAKIM KAYIT'!$B$6:$P$125,13,FALSE))</f>
      </c>
    </row>
    <row r="53" spans="1:8" ht="14.25" customHeight="1">
      <c r="A53" s="13"/>
      <c r="B53" s="14"/>
      <c r="C53" s="96">
        <f>IF(A52="","",INDEX('TAKIM KAYIT'!$D$6:$D$125,MATCH(C52,'TAKIM KAYIT'!$D$6:$D$125,0)+1))</f>
      </c>
      <c r="D53" s="15">
        <f>IF(ISERROR(VLOOKUP($C53,'START LİSTE'!$B$6:$F$836,2,0)),"",VLOOKUP($C53,'START LİSTE'!$B$6:$F$836,2,0))</f>
      </c>
      <c r="E53" s="16">
        <f>IF(ISERROR(VLOOKUP($C53,'START LİSTE'!$B$6:$F$836,4,0)),"",VLOOKUP($C53,'START LİSTE'!$B$6:$F$836,4,0))</f>
      </c>
      <c r="F53" s="106">
        <f>IF(ISERROR(VLOOKUP($C53,'FERDİ SONUÇ'!$B$6:$H$962,6,0)),"",VLOOKUP($C53,'FERDİ SONUÇ'!$B$6:$H$962,6,0))</f>
      </c>
      <c r="G53" s="18" t="str">
        <f>IF(OR(E53="",F53="DQ",F53="DNF",F53="DNS",F53=""),"-",VLOOKUP(C53,'FERDİ SONUÇ'!$B$6:$H$962,7,0))</f>
        <v>-</v>
      </c>
      <c r="H53" s="147"/>
    </row>
    <row r="54" spans="1:8" ht="14.25" customHeight="1">
      <c r="A54" s="6"/>
      <c r="B54" s="7"/>
      <c r="C54" s="95">
        <f>IF(A56="","",INDEX('TAKIM KAYIT'!$D$6:$D$125,MATCH(C56,'TAKIM KAYIT'!$D$6:$D$125,0)-2))</f>
      </c>
      <c r="D54" s="8">
        <f>IF(ISERROR(VLOOKUP($C54,'START LİSTE'!$B$6:$F$836,2,0)),"",VLOOKUP($C54,'START LİSTE'!$B$6:$F$836,2,0))</f>
      </c>
      <c r="E54" s="9">
        <f>IF(ISERROR(VLOOKUP($C54,'START LİSTE'!$B$6:$F$836,4,0)),"",VLOOKUP($C54,'START LİSTE'!$B$6:$F$836,4,0))</f>
      </c>
      <c r="F54" s="105">
        <f>IF(ISERROR(VLOOKUP($C54,'FERDİ SONUÇ'!$B$6:$H$962,6,0)),"",VLOOKUP($C54,'FERDİ SONUÇ'!$B$6:$H$962,6,0))</f>
      </c>
      <c r="G54" s="11" t="str">
        <f>IF(OR(E54="",F54="DQ",F54="DNF",F54="DNS",F54=""),"-",VLOOKUP(C54,'FERDİ SONUÇ'!$B$6:$H$962,7,0))</f>
        <v>-</v>
      </c>
      <c r="H54" s="146"/>
    </row>
    <row r="55" spans="1:8" ht="14.25" customHeight="1">
      <c r="A55" s="13"/>
      <c r="B55" s="14"/>
      <c r="C55" s="96">
        <f>IF(A56="","",INDEX('TAKIM KAYIT'!$D$6:$D$125,MATCH(C56,'TAKIM KAYIT'!$D$6:$D$125,0)-1))</f>
      </c>
      <c r="D55" s="15">
        <f>IF(ISERROR(VLOOKUP($C55,'START LİSTE'!$B$6:$F$836,2,0)),"",VLOOKUP($C55,'START LİSTE'!$B$6:$F$836,2,0))</f>
      </c>
      <c r="E55" s="16">
        <f>IF(ISERROR(VLOOKUP($C55,'START LİSTE'!$B$6:$F$836,4,0)),"",VLOOKUP($C55,'START LİSTE'!$B$6:$F$836,4,0))</f>
      </c>
      <c r="F55" s="106">
        <f>IF(ISERROR(VLOOKUP($C55,'FERDİ SONUÇ'!$B$6:$H$962,6,0)),"",VLOOKUP($C55,'FERDİ SONUÇ'!$B$6:$H$962,6,0))</f>
      </c>
      <c r="G55" s="18" t="str">
        <f>IF(OR(E55="",F55="DQ",F55="DNF",F55="DNS",F55=""),"-",VLOOKUP(C55,'FERDİ SONUÇ'!$B$6:$H$962,7,0))</f>
        <v>-</v>
      </c>
      <c r="H55" s="147"/>
    </row>
    <row r="56" spans="1:8" ht="14.25" customHeight="1">
      <c r="A56" s="59">
        <f>IF(ISERROR(SMALL('TAKIM KAYIT'!$B$6:$B$125,13)),"",SMALL('TAKIM KAYIT'!$B$6:$B$125,13))</f>
      </c>
      <c r="B56" s="14">
        <f>IF(A56="","",VLOOKUP(A56,'TAKIM KAYIT'!$B$6:$O$125,2,FALSE))</f>
      </c>
      <c r="C56" s="96">
        <f>IF(A56="","",VLOOKUP(A56,'TAKIM KAYIT'!$B$6:$O$125,3,FALSE))</f>
      </c>
      <c r="D56" s="15">
        <f>IF(ISERROR(VLOOKUP($C56,'START LİSTE'!$B$6:$F$836,2,0)),"",VLOOKUP($C56,'START LİSTE'!$B$6:$F$836,2,0))</f>
      </c>
      <c r="E56" s="16">
        <f>IF(ISERROR(VLOOKUP($C56,'START LİSTE'!$B$6:$F$836,4,0)),"",VLOOKUP($C56,'START LİSTE'!$B$6:$F$836,4,0))</f>
      </c>
      <c r="F56" s="106">
        <f>IF(ISERROR(VLOOKUP($C56,'FERDİ SONUÇ'!$B$6:$H$962,6,0)),"",VLOOKUP($C56,'FERDİ SONUÇ'!$B$6:$H$962,6,0))</f>
      </c>
      <c r="G56" s="18" t="str">
        <f>IF(OR(E56="",F56="DQ",F56="DNF",F56="DNS",F56=""),"-",VLOOKUP(C56,'FERDİ SONUÇ'!$B$6:$H$962,7,0))</f>
        <v>-</v>
      </c>
      <c r="H56" s="143">
        <f>IF(A56="","",VLOOKUP(A56,'TAKIM KAYIT'!$B$6:$P$125,13,FALSE))</f>
      </c>
    </row>
    <row r="57" spans="1:8" ht="14.25" customHeight="1">
      <c r="A57" s="13"/>
      <c r="B57" s="14"/>
      <c r="C57" s="96">
        <f>IF(A56="","",INDEX('TAKIM KAYIT'!$D$6:$D$125,MATCH(C56,'TAKIM KAYIT'!$D$6:$D$125,0)+1))</f>
      </c>
      <c r="D57" s="15">
        <f>IF(ISERROR(VLOOKUP($C57,'START LİSTE'!$B$6:$F$836,2,0)),"",VLOOKUP($C57,'START LİSTE'!$B$6:$F$836,2,0))</f>
      </c>
      <c r="E57" s="16">
        <f>IF(ISERROR(VLOOKUP($C57,'START LİSTE'!$B$6:$F$836,4,0)),"",VLOOKUP($C57,'START LİSTE'!$B$6:$F$836,4,0))</f>
      </c>
      <c r="F57" s="106">
        <f>IF(ISERROR(VLOOKUP($C57,'FERDİ SONUÇ'!$B$6:$H$962,6,0)),"",VLOOKUP($C57,'FERDİ SONUÇ'!$B$6:$H$962,6,0))</f>
      </c>
      <c r="G57" s="18" t="str">
        <f>IF(OR(E57="",F57="DQ",F57="DNF",F57="DNS",F57=""),"-",VLOOKUP(C57,'FERDİ SONUÇ'!$B$6:$H$962,7,0))</f>
        <v>-</v>
      </c>
      <c r="H57" s="147"/>
    </row>
    <row r="58" spans="1:8" ht="14.25" customHeight="1">
      <c r="A58" s="6"/>
      <c r="B58" s="7"/>
      <c r="C58" s="95">
        <f>IF(A60="","",INDEX('TAKIM KAYIT'!$D$6:$D$125,MATCH(C60,'TAKIM KAYIT'!$D$6:$D$125,0)-2))</f>
      </c>
      <c r="D58" s="8">
        <f>IF(ISERROR(VLOOKUP($C58,'START LİSTE'!$B$6:$F$836,2,0)),"",VLOOKUP($C58,'START LİSTE'!$B$6:$F$836,2,0))</f>
      </c>
      <c r="E58" s="9">
        <f>IF(ISERROR(VLOOKUP($C58,'START LİSTE'!$B$6:$F$836,4,0)),"",VLOOKUP($C58,'START LİSTE'!$B$6:$F$836,4,0))</f>
      </c>
      <c r="F58" s="105">
        <f>IF(ISERROR(VLOOKUP($C58,'FERDİ SONUÇ'!$B$6:$H$962,6,0)),"",VLOOKUP($C58,'FERDİ SONUÇ'!$B$6:$H$962,6,0))</f>
      </c>
      <c r="G58" s="11" t="str">
        <f>IF(OR(E58="",F58="DQ",F58="DNF",F58="DNS",F58=""),"-",VLOOKUP(C58,'FERDİ SONUÇ'!$B$6:$H$962,7,0))</f>
        <v>-</v>
      </c>
      <c r="H58" s="146"/>
    </row>
    <row r="59" spans="1:8" ht="14.25" customHeight="1">
      <c r="A59" s="13"/>
      <c r="B59" s="14"/>
      <c r="C59" s="96">
        <f>IF(A60="","",INDEX('TAKIM KAYIT'!$D$6:$D$125,MATCH(C60,'TAKIM KAYIT'!$D$6:$D$125,0)-1))</f>
      </c>
      <c r="D59" s="15">
        <f>IF(ISERROR(VLOOKUP($C59,'START LİSTE'!$B$6:$F$836,2,0)),"",VLOOKUP($C59,'START LİSTE'!$B$6:$F$836,2,0))</f>
      </c>
      <c r="E59" s="16">
        <f>IF(ISERROR(VLOOKUP($C59,'START LİSTE'!$B$6:$F$836,4,0)),"",VLOOKUP($C59,'START LİSTE'!$B$6:$F$836,4,0))</f>
      </c>
      <c r="F59" s="106">
        <f>IF(ISERROR(VLOOKUP($C59,'FERDİ SONUÇ'!$B$6:$H$962,6,0)),"",VLOOKUP($C59,'FERDİ SONUÇ'!$B$6:$H$962,6,0))</f>
      </c>
      <c r="G59" s="18" t="str">
        <f>IF(OR(E59="",F59="DQ",F59="DNF",F59="DNS",F59=""),"-",VLOOKUP(C59,'FERDİ SONUÇ'!$B$6:$H$962,7,0))</f>
        <v>-</v>
      </c>
      <c r="H59" s="147"/>
    </row>
    <row r="60" spans="1:8" ht="14.25" customHeight="1">
      <c r="A60" s="58">
        <f>IF(ISERROR(SMALL('TAKIM KAYIT'!$B$6:$B$125,14)),"",SMALL('TAKIM KAYIT'!$B$6:$B$125,14))</f>
      </c>
      <c r="B60" s="14">
        <f>IF(A60="","",VLOOKUP(A60,'TAKIM KAYIT'!$B$6:$O$125,2,FALSE))</f>
      </c>
      <c r="C60" s="96">
        <f>IF(A60="","",VLOOKUP(A60,'TAKIM KAYIT'!$B$6:$O$125,3,FALSE))</f>
      </c>
      <c r="D60" s="15">
        <f>IF(ISERROR(VLOOKUP($C60,'START LİSTE'!$B$6:$F$836,2,0)),"",VLOOKUP($C60,'START LİSTE'!$B$6:$F$836,2,0))</f>
      </c>
      <c r="E60" s="16">
        <f>IF(ISERROR(VLOOKUP($C60,'START LİSTE'!$B$6:$F$836,4,0)),"",VLOOKUP($C60,'START LİSTE'!$B$6:$F$836,4,0))</f>
      </c>
      <c r="F60" s="106">
        <f>IF(ISERROR(VLOOKUP($C60,'FERDİ SONUÇ'!$B$6:$H$962,6,0)),"",VLOOKUP($C60,'FERDİ SONUÇ'!$B$6:$H$962,6,0))</f>
      </c>
      <c r="G60" s="18" t="str">
        <f>IF(OR(E60="",F60="DQ",F60="DNF",F60="DNS",F60=""),"-",VLOOKUP(C60,'FERDİ SONUÇ'!$B$6:$H$962,7,0))</f>
        <v>-</v>
      </c>
      <c r="H60" s="143">
        <f>IF(A60="","",VLOOKUP(A60,'TAKIM KAYIT'!$B$6:$P$125,13,FALSE))</f>
      </c>
    </row>
    <row r="61" spans="1:8" ht="14.25" customHeight="1">
      <c r="A61" s="13"/>
      <c r="B61" s="14"/>
      <c r="C61" s="96">
        <f>IF(A60="","",INDEX('TAKIM KAYIT'!$D$6:$D$125,MATCH(C60,'TAKIM KAYIT'!$D$6:$D$125,0)+1))</f>
      </c>
      <c r="D61" s="15">
        <f>IF(ISERROR(VLOOKUP($C61,'START LİSTE'!$B$6:$F$836,2,0)),"",VLOOKUP($C61,'START LİSTE'!$B$6:$F$836,2,0))</f>
      </c>
      <c r="E61" s="16">
        <f>IF(ISERROR(VLOOKUP($C61,'START LİSTE'!$B$6:$F$836,4,0)),"",VLOOKUP($C61,'START LİSTE'!$B$6:$F$836,4,0))</f>
      </c>
      <c r="F61" s="106">
        <f>IF(ISERROR(VLOOKUP($C61,'FERDİ SONUÇ'!$B$6:$H$962,6,0)),"",VLOOKUP($C61,'FERDİ SONUÇ'!$B$6:$H$962,6,0))</f>
      </c>
      <c r="G61" s="18" t="str">
        <f>IF(OR(E61="",F61="DQ",F61="DNF",F61="DNS",F61=""),"-",VLOOKUP(C61,'FERDİ SONUÇ'!$B$6:$H$962,7,0))</f>
        <v>-</v>
      </c>
      <c r="H61" s="147"/>
    </row>
    <row r="62" spans="1:8" ht="14.25" customHeight="1">
      <c r="A62" s="6"/>
      <c r="B62" s="7"/>
      <c r="C62" s="95">
        <f>IF(A64="","",INDEX('TAKIM KAYIT'!$D$6:$D$125,MATCH(C64,'TAKIM KAYIT'!$D$6:$D$125,0)-2))</f>
      </c>
      <c r="D62" s="8">
        <f>IF(ISERROR(VLOOKUP($C62,'START LİSTE'!$B$6:$F$836,2,0)),"",VLOOKUP($C62,'START LİSTE'!$B$6:$F$836,2,0))</f>
      </c>
      <c r="E62" s="9">
        <f>IF(ISERROR(VLOOKUP($C62,'START LİSTE'!$B$6:$F$836,4,0)),"",VLOOKUP($C62,'START LİSTE'!$B$6:$F$836,4,0))</f>
      </c>
      <c r="F62" s="105">
        <f>IF(ISERROR(VLOOKUP($C62,'FERDİ SONUÇ'!$B$6:$H$962,6,0)),"",VLOOKUP($C62,'FERDİ SONUÇ'!$B$6:$H$962,6,0))</f>
      </c>
      <c r="G62" s="11" t="str">
        <f>IF(OR(E62="",F62="DQ",F62="DNF",F62="DNS",F62=""),"-",VLOOKUP(C62,'FERDİ SONUÇ'!$B$6:$H$962,7,0))</f>
        <v>-</v>
      </c>
      <c r="H62" s="146"/>
    </row>
    <row r="63" spans="1:8" ht="14.25" customHeight="1">
      <c r="A63" s="13"/>
      <c r="B63" s="14"/>
      <c r="C63" s="96">
        <f>IF(A64="","",INDEX('TAKIM KAYIT'!$D$6:$D$125,MATCH(C64,'TAKIM KAYIT'!$D$6:$D$125,0)-1))</f>
      </c>
      <c r="D63" s="15">
        <f>IF(ISERROR(VLOOKUP($C63,'START LİSTE'!$B$6:$F$836,2,0)),"",VLOOKUP($C63,'START LİSTE'!$B$6:$F$836,2,0))</f>
      </c>
      <c r="E63" s="16">
        <f>IF(ISERROR(VLOOKUP($C63,'START LİSTE'!$B$6:$F$836,4,0)),"",VLOOKUP($C63,'START LİSTE'!$B$6:$F$836,4,0))</f>
      </c>
      <c r="F63" s="106">
        <f>IF(ISERROR(VLOOKUP($C63,'FERDİ SONUÇ'!$B$6:$H$962,6,0)),"",VLOOKUP($C63,'FERDİ SONUÇ'!$B$6:$H$962,6,0))</f>
      </c>
      <c r="G63" s="18" t="str">
        <f>IF(OR(E63="",F63="DQ",F63="DNF",F63="DNS",F63=""),"-",VLOOKUP(C63,'FERDİ SONUÇ'!$B$6:$H$962,7,0))</f>
        <v>-</v>
      </c>
      <c r="H63" s="147"/>
    </row>
    <row r="64" spans="1:8" ht="14.25" customHeight="1">
      <c r="A64" s="58">
        <f>IF(ISERROR(SMALL('TAKIM KAYIT'!$B$6:$B$125,15)),"",SMALL('TAKIM KAYIT'!$B$6:$B$125,15))</f>
      </c>
      <c r="B64" s="14">
        <f>IF(A64="","",VLOOKUP(A64,'TAKIM KAYIT'!$B$6:$O$125,2,FALSE))</f>
      </c>
      <c r="C64" s="96">
        <f>IF(A64="","",VLOOKUP(A64,'TAKIM KAYIT'!$B$6:$O$125,3,FALSE))</f>
      </c>
      <c r="D64" s="15">
        <f>IF(ISERROR(VLOOKUP($C64,'START LİSTE'!$B$6:$F$836,2,0)),"",VLOOKUP($C64,'START LİSTE'!$B$6:$F$836,2,0))</f>
      </c>
      <c r="E64" s="16">
        <f>IF(ISERROR(VLOOKUP($C64,'START LİSTE'!$B$6:$F$836,4,0)),"",VLOOKUP($C64,'START LİSTE'!$B$6:$F$836,4,0))</f>
      </c>
      <c r="F64" s="106">
        <f>IF(ISERROR(VLOOKUP($C64,'FERDİ SONUÇ'!$B$6:$H$962,6,0)),"",VLOOKUP($C64,'FERDİ SONUÇ'!$B$6:$H$962,6,0))</f>
      </c>
      <c r="G64" s="18" t="str">
        <f>IF(OR(E64="",F64="DQ",F64="DNF",F64="DNS",F64=""),"-",VLOOKUP(C64,'FERDİ SONUÇ'!$B$6:$H$962,7,0))</f>
        <v>-</v>
      </c>
      <c r="H64" s="143">
        <f>IF(A64="","",VLOOKUP(A64,'TAKIM KAYIT'!$B$6:$P$125,13,FALSE))</f>
      </c>
    </row>
    <row r="65" spans="1:8" ht="14.25" customHeight="1">
      <c r="A65" s="13"/>
      <c r="B65" s="14"/>
      <c r="C65" s="96">
        <f>IF(A64="","",INDEX('TAKIM KAYIT'!$D$6:$D$125,MATCH(C64,'TAKIM KAYIT'!$D$6:$D$125,0)+1))</f>
      </c>
      <c r="D65" s="15">
        <f>IF(ISERROR(VLOOKUP($C65,'START LİSTE'!$B$6:$F$836,2,0)),"",VLOOKUP($C65,'START LİSTE'!$B$6:$F$836,2,0))</f>
      </c>
      <c r="E65" s="16">
        <f>IF(ISERROR(VLOOKUP($C65,'START LİSTE'!$B$6:$F$836,4,0)),"",VLOOKUP($C65,'START LİSTE'!$B$6:$F$836,4,0))</f>
      </c>
      <c r="F65" s="106">
        <f>IF(ISERROR(VLOOKUP($C65,'FERDİ SONUÇ'!$B$6:$H$962,6,0)),"",VLOOKUP($C65,'FERDİ SONUÇ'!$B$6:$H$962,6,0))</f>
      </c>
      <c r="G65" s="18" t="str">
        <f>IF(OR(E65="",F65="DQ",F65="DNF",F65="DNS",F65=""),"-",VLOOKUP(C65,'FERDİ SONUÇ'!$B$6:$H$962,7,0))</f>
        <v>-</v>
      </c>
      <c r="H65" s="147"/>
    </row>
    <row r="66" spans="1:8" ht="14.25" customHeight="1">
      <c r="A66" s="6"/>
      <c r="B66" s="7"/>
      <c r="C66" s="95">
        <f>IF(A68="","",INDEX('TAKIM KAYIT'!$D$6:$D$125,MATCH(C68,'TAKIM KAYIT'!$D$6:$D$125,0)-2))</f>
      </c>
      <c r="D66" s="8">
        <f>IF(ISERROR(VLOOKUP($C66,'START LİSTE'!$B$6:$F$836,2,0)),"",VLOOKUP($C66,'START LİSTE'!$B$6:$F$836,2,0))</f>
      </c>
      <c r="E66" s="9">
        <f>IF(ISERROR(VLOOKUP($C66,'START LİSTE'!$B$6:$F$836,4,0)),"",VLOOKUP($C66,'START LİSTE'!$B$6:$F$836,4,0))</f>
      </c>
      <c r="F66" s="105">
        <f>IF(ISERROR(VLOOKUP($C66,'FERDİ SONUÇ'!$B$6:$H$962,6,0)),"",VLOOKUP($C66,'FERDİ SONUÇ'!$B$6:$H$962,6,0))</f>
      </c>
      <c r="G66" s="11" t="str">
        <f>IF(OR(E66="",F66="DQ",F66="DNF",F66="DNS",F66=""),"-",VLOOKUP(C66,'FERDİ SONUÇ'!$B$6:$H$962,7,0))</f>
        <v>-</v>
      </c>
      <c r="H66" s="146"/>
    </row>
    <row r="67" spans="1:8" ht="14.25" customHeight="1">
      <c r="A67" s="13"/>
      <c r="B67" s="14"/>
      <c r="C67" s="96">
        <f>IF(A68="","",INDEX('TAKIM KAYIT'!$D$6:$D$125,MATCH(C68,'TAKIM KAYIT'!$D$6:$D$125,0)-1))</f>
      </c>
      <c r="D67" s="15">
        <f>IF(ISERROR(VLOOKUP($C67,'START LİSTE'!$B$6:$F$836,2,0)),"",VLOOKUP($C67,'START LİSTE'!$B$6:$F$836,2,0))</f>
      </c>
      <c r="E67" s="16">
        <f>IF(ISERROR(VLOOKUP($C67,'START LİSTE'!$B$6:$F$836,4,0)),"",VLOOKUP($C67,'START LİSTE'!$B$6:$F$836,4,0))</f>
      </c>
      <c r="F67" s="106">
        <f>IF(ISERROR(VLOOKUP($C67,'FERDİ SONUÇ'!$B$6:$H$962,6,0)),"",VLOOKUP($C67,'FERDİ SONUÇ'!$B$6:$H$962,6,0))</f>
      </c>
      <c r="G67" s="18" t="str">
        <f>IF(OR(E67="",F67="DQ",F67="DNF",F67="DNS",F67=""),"-",VLOOKUP(C67,'FERDİ SONUÇ'!$B$6:$H$962,7,0))</f>
        <v>-</v>
      </c>
      <c r="H67" s="147"/>
    </row>
    <row r="68" spans="1:8" ht="14.25" customHeight="1">
      <c r="A68" s="58">
        <f>IF(ISERROR(SMALL('TAKIM KAYIT'!$B$6:$B$125,16)),"",SMALL('TAKIM KAYIT'!$B$6:$B$125,16))</f>
      </c>
      <c r="B68" s="14">
        <f>IF(A68="","",VLOOKUP(A68,'TAKIM KAYIT'!$B$6:$O$125,2,FALSE))</f>
      </c>
      <c r="C68" s="96">
        <f>IF(A68="","",VLOOKUP(A68,'TAKIM KAYIT'!$B$6:$O$125,3,FALSE))</f>
      </c>
      <c r="D68" s="15">
        <f>IF(ISERROR(VLOOKUP($C68,'START LİSTE'!$B$6:$F$836,2,0)),"",VLOOKUP($C68,'START LİSTE'!$B$6:$F$836,2,0))</f>
      </c>
      <c r="E68" s="16">
        <f>IF(ISERROR(VLOOKUP($C68,'START LİSTE'!$B$6:$F$836,4,0)),"",VLOOKUP($C68,'START LİSTE'!$B$6:$F$836,4,0))</f>
      </c>
      <c r="F68" s="106">
        <f>IF(ISERROR(VLOOKUP($C68,'FERDİ SONUÇ'!$B$6:$H$962,6,0)),"",VLOOKUP($C68,'FERDİ SONUÇ'!$B$6:$H$962,6,0))</f>
      </c>
      <c r="G68" s="18" t="str">
        <f>IF(OR(E68="",F68="DQ",F68="DNF",F68="DNS",F68=""),"-",VLOOKUP(C68,'FERDİ SONUÇ'!$B$6:$H$962,7,0))</f>
        <v>-</v>
      </c>
      <c r="H68" s="143">
        <f>IF(A68="","",VLOOKUP(A68,'TAKIM KAYIT'!$B$6:$P$125,13,FALSE))</f>
      </c>
    </row>
    <row r="69" spans="1:8" ht="14.25" customHeight="1">
      <c r="A69" s="13"/>
      <c r="B69" s="14"/>
      <c r="C69" s="96">
        <f>IF(A68="","",INDEX('TAKIM KAYIT'!$D$6:$D$125,MATCH(C68,'TAKIM KAYIT'!$D$6:$D$125,0)+1))</f>
      </c>
      <c r="D69" s="15">
        <f>IF(ISERROR(VLOOKUP($C69,'START LİSTE'!$B$6:$F$836,2,0)),"",VLOOKUP($C69,'START LİSTE'!$B$6:$F$836,2,0))</f>
      </c>
      <c r="E69" s="16">
        <f>IF(ISERROR(VLOOKUP($C69,'START LİSTE'!$B$6:$F$836,4,0)),"",VLOOKUP($C69,'START LİSTE'!$B$6:$F$836,4,0))</f>
      </c>
      <c r="F69" s="106">
        <f>IF(ISERROR(VLOOKUP($C69,'FERDİ SONUÇ'!$B$6:$H$962,6,0)),"",VLOOKUP($C69,'FERDİ SONUÇ'!$B$6:$H$962,6,0))</f>
      </c>
      <c r="G69" s="18" t="str">
        <f>IF(OR(E69="",F69="DQ",F69="DNF",F69="DNS",F69=""),"-",VLOOKUP(C69,'FERDİ SONUÇ'!$B$6:$H$962,7,0))</f>
        <v>-</v>
      </c>
      <c r="H69" s="147"/>
    </row>
    <row r="70" spans="1:8" ht="14.25" customHeight="1">
      <c r="A70" s="6"/>
      <c r="B70" s="7"/>
      <c r="C70" s="95">
        <f>IF(A72="","",INDEX('TAKIM KAYIT'!$D$6:$D$125,MATCH(C72,'TAKIM KAYIT'!$D$6:$D$125,0)-2))</f>
      </c>
      <c r="D70" s="8">
        <f>IF(ISERROR(VLOOKUP($C70,'START LİSTE'!$B$6:$F$836,2,0)),"",VLOOKUP($C70,'START LİSTE'!$B$6:$F$836,2,0))</f>
      </c>
      <c r="E70" s="9">
        <f>IF(ISERROR(VLOOKUP($C70,'START LİSTE'!$B$6:$F$836,4,0)),"",VLOOKUP($C70,'START LİSTE'!$B$6:$F$836,4,0))</f>
      </c>
      <c r="F70" s="105">
        <f>IF(ISERROR(VLOOKUP($C70,'FERDİ SONUÇ'!$B$6:$H$962,6,0)),"",VLOOKUP($C70,'FERDİ SONUÇ'!$B$6:$H$962,6,0))</f>
      </c>
      <c r="G70" s="11" t="str">
        <f>IF(OR(E70="",F70="DQ",F70="DNF",F70="DNS",F70=""),"-",VLOOKUP(C70,'FERDİ SONUÇ'!$B$6:$H$962,7,0))</f>
        <v>-</v>
      </c>
      <c r="H70" s="146"/>
    </row>
    <row r="71" spans="1:8" ht="14.25" customHeight="1">
      <c r="A71" s="13"/>
      <c r="B71" s="14"/>
      <c r="C71" s="96">
        <f>IF(A72="","",INDEX('TAKIM KAYIT'!$D$6:$D$125,MATCH(C72,'TAKIM KAYIT'!$D$6:$D$125,0)-1))</f>
      </c>
      <c r="D71" s="15">
        <f>IF(ISERROR(VLOOKUP($C71,'START LİSTE'!$B$6:$F$836,2,0)),"",VLOOKUP($C71,'START LİSTE'!$B$6:$F$836,2,0))</f>
      </c>
      <c r="E71" s="16">
        <f>IF(ISERROR(VLOOKUP($C71,'START LİSTE'!$B$6:$F$836,4,0)),"",VLOOKUP($C71,'START LİSTE'!$B$6:$F$836,4,0))</f>
      </c>
      <c r="F71" s="106">
        <f>IF(ISERROR(VLOOKUP($C71,'FERDİ SONUÇ'!$B$6:$H$962,6,0)),"",VLOOKUP($C71,'FERDİ SONUÇ'!$B$6:$H$962,6,0))</f>
      </c>
      <c r="G71" s="18" t="str">
        <f>IF(OR(E71="",F71="DQ",F71="DNF",F71="DNS",F71=""),"-",VLOOKUP(C71,'FERDİ SONUÇ'!$B$6:$H$962,7,0))</f>
        <v>-</v>
      </c>
      <c r="H71" s="147"/>
    </row>
    <row r="72" spans="1:8" ht="14.25" customHeight="1">
      <c r="A72" s="58">
        <f>IF(ISERROR(SMALL('TAKIM KAYIT'!$B$6:$B$125,17)),"",SMALL('TAKIM KAYIT'!$B$6:$B$125,17))</f>
      </c>
      <c r="B72" s="14">
        <f>IF(A72="","",VLOOKUP(A72,'TAKIM KAYIT'!$B$6:$O$125,2,FALSE))</f>
      </c>
      <c r="C72" s="96">
        <f>IF(A72="","",VLOOKUP(A72,'TAKIM KAYIT'!$B$6:$O$125,3,FALSE))</f>
      </c>
      <c r="D72" s="15">
        <f>IF(ISERROR(VLOOKUP($C72,'START LİSTE'!$B$6:$F$836,2,0)),"",VLOOKUP($C72,'START LİSTE'!$B$6:$F$836,2,0))</f>
      </c>
      <c r="E72" s="16">
        <f>IF(ISERROR(VLOOKUP($C72,'START LİSTE'!$B$6:$F$836,4,0)),"",VLOOKUP($C72,'START LİSTE'!$B$6:$F$836,4,0))</f>
      </c>
      <c r="F72" s="106">
        <f>IF(ISERROR(VLOOKUP($C72,'FERDİ SONUÇ'!$B$6:$H$962,6,0)),"",VLOOKUP($C72,'FERDİ SONUÇ'!$B$6:$H$962,6,0))</f>
      </c>
      <c r="G72" s="18" t="str">
        <f>IF(OR(E72="",F72="DQ",F72="DNF",F72="DNS",F72=""),"-",VLOOKUP(C72,'FERDİ SONUÇ'!$B$6:$H$962,7,0))</f>
        <v>-</v>
      </c>
      <c r="H72" s="143">
        <f>IF(A72="","",VLOOKUP(A72,'TAKIM KAYIT'!$B$6:$P$125,13,FALSE))</f>
      </c>
    </row>
    <row r="73" spans="1:8" ht="14.25" customHeight="1">
      <c r="A73" s="13"/>
      <c r="B73" s="14"/>
      <c r="C73" s="96">
        <f>IF(A72="","",INDEX('TAKIM KAYIT'!$D$6:$D$125,MATCH(C72,'TAKIM KAYIT'!$D$6:$D$125,0)+1))</f>
      </c>
      <c r="D73" s="15">
        <f>IF(ISERROR(VLOOKUP($C73,'START LİSTE'!$B$6:$F$836,2,0)),"",VLOOKUP($C73,'START LİSTE'!$B$6:$F$836,2,0))</f>
      </c>
      <c r="E73" s="16">
        <f>IF(ISERROR(VLOOKUP($C73,'START LİSTE'!$B$6:$F$836,4,0)),"",VLOOKUP($C73,'START LİSTE'!$B$6:$F$836,4,0))</f>
      </c>
      <c r="F73" s="106">
        <f>IF(ISERROR(VLOOKUP($C73,'FERDİ SONUÇ'!$B$6:$H$962,6,0)),"",VLOOKUP($C73,'FERDİ SONUÇ'!$B$6:$H$962,6,0))</f>
      </c>
      <c r="G73" s="18" t="str">
        <f>IF(OR(E73="",F73="DQ",F73="DNF",F73="DNS",F73=""),"-",VLOOKUP(C73,'FERDİ SONUÇ'!$B$6:$H$962,7,0))</f>
        <v>-</v>
      </c>
      <c r="H73" s="147"/>
    </row>
    <row r="74" spans="1:8" ht="14.25" customHeight="1">
      <c r="A74" s="6"/>
      <c r="B74" s="7"/>
      <c r="C74" s="95">
        <f>IF(A76="","",INDEX('TAKIM KAYIT'!$D$6:$D$125,MATCH(C76,'TAKIM KAYIT'!$D$6:$D$125,0)-2))</f>
      </c>
      <c r="D74" s="8">
        <f>IF(ISERROR(VLOOKUP($C74,'START LİSTE'!$B$6:$F$836,2,0)),"",VLOOKUP($C74,'START LİSTE'!$B$6:$F$836,2,0))</f>
      </c>
      <c r="E74" s="9">
        <f>IF(ISERROR(VLOOKUP($C74,'START LİSTE'!$B$6:$F$836,4,0)),"",VLOOKUP($C74,'START LİSTE'!$B$6:$F$836,4,0))</f>
      </c>
      <c r="F74" s="105">
        <f>IF(ISERROR(VLOOKUP($C74,'FERDİ SONUÇ'!$B$6:$H$962,6,0)),"",VLOOKUP($C74,'FERDİ SONUÇ'!$B$6:$H$962,6,0))</f>
      </c>
      <c r="G74" s="11" t="str">
        <f>IF(OR(E74="",F74="DQ",F74="DNF",F74="DNS",F74=""),"-",VLOOKUP(C74,'FERDİ SONUÇ'!$B$6:$H$962,7,0))</f>
        <v>-</v>
      </c>
      <c r="H74" s="146"/>
    </row>
    <row r="75" spans="1:8" ht="14.25" customHeight="1">
      <c r="A75" s="13"/>
      <c r="B75" s="14"/>
      <c r="C75" s="96">
        <f>IF(A76="","",INDEX('TAKIM KAYIT'!$D$6:$D$125,MATCH(C76,'TAKIM KAYIT'!$D$6:$D$125,0)-1))</f>
      </c>
      <c r="D75" s="15">
        <f>IF(ISERROR(VLOOKUP($C75,'START LİSTE'!$B$6:$F$836,2,0)),"",VLOOKUP($C75,'START LİSTE'!$B$6:$F$836,2,0))</f>
      </c>
      <c r="E75" s="16">
        <f>IF(ISERROR(VLOOKUP($C75,'START LİSTE'!$B$6:$F$836,4,0)),"",VLOOKUP($C75,'START LİSTE'!$B$6:$F$836,4,0))</f>
      </c>
      <c r="F75" s="106">
        <f>IF(ISERROR(VLOOKUP($C75,'FERDİ SONUÇ'!$B$6:$H$962,6,0)),"",VLOOKUP($C75,'FERDİ SONUÇ'!$B$6:$H$962,6,0))</f>
      </c>
      <c r="G75" s="18" t="str">
        <f>IF(OR(E75="",F75="DQ",F75="DNF",F75="DNS",F75=""),"-",VLOOKUP(C75,'FERDİ SONUÇ'!$B$6:$H$962,7,0))</f>
        <v>-</v>
      </c>
      <c r="H75" s="147"/>
    </row>
    <row r="76" spans="1:8" ht="14.25" customHeight="1">
      <c r="A76" s="58">
        <f>IF(ISERROR(SMALL('TAKIM KAYIT'!$B$6:$B$125,18)),"",SMALL('TAKIM KAYIT'!$B$6:$B$125,18))</f>
      </c>
      <c r="B76" s="14">
        <f>IF(A76="","",VLOOKUP(A76,'TAKIM KAYIT'!$B$6:$O$125,2,FALSE))</f>
      </c>
      <c r="C76" s="96">
        <f>IF(A76="","",VLOOKUP(A76,'TAKIM KAYIT'!$B$6:$O$125,3,FALSE))</f>
      </c>
      <c r="D76" s="15">
        <f>IF(ISERROR(VLOOKUP($C76,'START LİSTE'!$B$6:$F$836,2,0)),"",VLOOKUP($C76,'START LİSTE'!$B$6:$F$836,2,0))</f>
      </c>
      <c r="E76" s="16">
        <f>IF(ISERROR(VLOOKUP($C76,'START LİSTE'!$B$6:$F$836,4,0)),"",VLOOKUP($C76,'START LİSTE'!$B$6:$F$836,4,0))</f>
      </c>
      <c r="F76" s="106">
        <f>IF(ISERROR(VLOOKUP($C76,'FERDİ SONUÇ'!$B$6:$H$962,6,0)),"",VLOOKUP($C76,'FERDİ SONUÇ'!$B$6:$H$962,6,0))</f>
      </c>
      <c r="G76" s="18" t="str">
        <f>IF(OR(E76="",F76="DQ",F76="DNF",F76="DNS",F76=""),"-",VLOOKUP(C76,'FERDİ SONUÇ'!$B$6:$H$962,7,0))</f>
        <v>-</v>
      </c>
      <c r="H76" s="143">
        <f>IF(A76="","",VLOOKUP(A76,'TAKIM KAYIT'!$B$6:$P$125,13,FALSE))</f>
      </c>
    </row>
    <row r="77" spans="1:8" ht="14.25" customHeight="1">
      <c r="A77" s="21"/>
      <c r="B77" s="22"/>
      <c r="C77" s="99">
        <f>IF(A76="","",INDEX('TAKIM KAYIT'!$D$6:$D$125,MATCH(C76,'TAKIM KAYIT'!$D$6:$D$125,0)+1))</f>
      </c>
      <c r="D77" s="23">
        <f>IF(ISERROR(VLOOKUP($C77,'START LİSTE'!$B$6:$F$836,2,0)),"",VLOOKUP($C77,'START LİSTE'!$B$6:$F$836,2,0))</f>
      </c>
      <c r="E77" s="24">
        <f>IF(ISERROR(VLOOKUP($C77,'START LİSTE'!$B$6:$F$836,4,0)),"",VLOOKUP($C77,'START LİSTE'!$B$6:$F$836,4,0))</f>
      </c>
      <c r="F77" s="107">
        <f>IF(ISERROR(VLOOKUP($C77,'FERDİ SONUÇ'!$B$6:$H$962,6,0)),"",VLOOKUP($C77,'FERDİ SONUÇ'!$B$6:$H$962,6,0))</f>
      </c>
      <c r="G77" s="25" t="str">
        <f>IF(OR(E77="",F77="DQ",F77="DNF",F77="DNS",F77=""),"-",VLOOKUP(C77,'FERDİ SONUÇ'!$B$6:$H$962,7,0))</f>
        <v>-</v>
      </c>
      <c r="H77" s="148"/>
    </row>
    <row r="78" spans="1:8" ht="14.25" customHeight="1">
      <c r="A78" s="6"/>
      <c r="B78" s="7"/>
      <c r="C78" s="95">
        <f>IF(A80="","",INDEX('TAKIM KAYIT'!$D$6:$D$125,MATCH(C80,'TAKIM KAYIT'!$D$6:$D$125,0)-2))</f>
      </c>
      <c r="D78" s="8">
        <f>IF(ISERROR(VLOOKUP($C78,'START LİSTE'!$B$6:$F$836,2,0)),"",VLOOKUP($C78,'START LİSTE'!$B$6:$F$836,2,0))</f>
      </c>
      <c r="E78" s="9">
        <f>IF(ISERROR(VLOOKUP($C78,'START LİSTE'!$B$6:$F$836,4,0)),"",VLOOKUP($C78,'START LİSTE'!$B$6:$F$836,4,0))</f>
      </c>
      <c r="F78" s="105">
        <f>IF(ISERROR(VLOOKUP($C78,'FERDİ SONUÇ'!$B$6:$H$962,6,0)),"",VLOOKUP($C78,'FERDİ SONUÇ'!$B$6:$H$962,6,0))</f>
      </c>
      <c r="G78" s="11" t="str">
        <f>IF(OR(E78="",F78="DQ",F78="DNF",F78="DNS",F78=""),"-",VLOOKUP(C78,'FERDİ SONUÇ'!$B$6:$H$962,7,0))</f>
        <v>-</v>
      </c>
      <c r="H78" s="146"/>
    </row>
    <row r="79" spans="1:8" ht="14.25" customHeight="1">
      <c r="A79" s="13"/>
      <c r="B79" s="14"/>
      <c r="C79" s="96">
        <f>IF(A80="","",INDEX('TAKIM KAYIT'!$D$6:$D$125,MATCH(C80,'TAKIM KAYIT'!$D$6:$D$125,0)-1))</f>
      </c>
      <c r="D79" s="15">
        <f>IF(ISERROR(VLOOKUP($C79,'START LİSTE'!$B$6:$F$836,2,0)),"",VLOOKUP($C79,'START LİSTE'!$B$6:$F$836,2,0))</f>
      </c>
      <c r="E79" s="16">
        <f>IF(ISERROR(VLOOKUP($C79,'START LİSTE'!$B$6:$F$836,4,0)),"",VLOOKUP($C79,'START LİSTE'!$B$6:$F$836,4,0))</f>
      </c>
      <c r="F79" s="106">
        <f>IF(ISERROR(VLOOKUP($C79,'FERDİ SONUÇ'!$B$6:$H$962,6,0)),"",VLOOKUP($C79,'FERDİ SONUÇ'!$B$6:$H$962,6,0))</f>
      </c>
      <c r="G79" s="18" t="str">
        <f>IF(OR(E79="",F79="DQ",F79="DNF",F79="DNS",F79=""),"-",VLOOKUP(C79,'FERDİ SONUÇ'!$B$6:$H$962,7,0))</f>
        <v>-</v>
      </c>
      <c r="H79" s="147"/>
    </row>
    <row r="80" spans="1:8" ht="14.25" customHeight="1">
      <c r="A80" s="58">
        <f>IF(ISERROR(SMALL('TAKIM KAYIT'!$B$6:$B$125,19)),"",SMALL('TAKIM KAYIT'!$B$6:$B$125,19))</f>
      </c>
      <c r="B80" s="14">
        <f>IF(A80="","",VLOOKUP(A80,'TAKIM KAYIT'!$B$6:$O$125,2,FALSE))</f>
      </c>
      <c r="C80" s="96">
        <f>IF(A80="","",VLOOKUP(A80,'TAKIM KAYIT'!$B$6:$O$125,3,FALSE))</f>
      </c>
      <c r="D80" s="15">
        <f>IF(ISERROR(VLOOKUP($C80,'START LİSTE'!$B$6:$F$836,2,0)),"",VLOOKUP($C80,'START LİSTE'!$B$6:$F$836,2,0))</f>
      </c>
      <c r="E80" s="16">
        <f>IF(ISERROR(VLOOKUP($C80,'START LİSTE'!$B$6:$F$836,4,0)),"",VLOOKUP($C80,'START LİSTE'!$B$6:$F$836,4,0))</f>
      </c>
      <c r="F80" s="106">
        <f>IF(ISERROR(VLOOKUP($C80,'FERDİ SONUÇ'!$B$6:$H$962,6,0)),"",VLOOKUP($C80,'FERDİ SONUÇ'!$B$6:$H$962,6,0))</f>
      </c>
      <c r="G80" s="18" t="str">
        <f>IF(OR(E80="",F80="DQ",F80="DNF",F80="DNS",F80=""),"-",VLOOKUP(C80,'FERDİ SONUÇ'!$B$6:$H$962,7,0))</f>
        <v>-</v>
      </c>
      <c r="H80" s="143">
        <f>IF(A80="","",VLOOKUP(A80,'TAKIM KAYIT'!$B$6:$P$125,13,FALSE))</f>
      </c>
    </row>
    <row r="81" spans="1:8" ht="14.25" customHeight="1">
      <c r="A81" s="13"/>
      <c r="B81" s="14"/>
      <c r="C81" s="96">
        <f>IF(A80="","",INDEX('TAKIM KAYIT'!$D$6:$D$125,MATCH(C80,'TAKIM KAYIT'!$D$6:$D$125,0)+1))</f>
      </c>
      <c r="D81" s="15">
        <f>IF(ISERROR(VLOOKUP($C81,'START LİSTE'!$B$6:$F$836,2,0)),"",VLOOKUP($C81,'START LİSTE'!$B$6:$F$836,2,0))</f>
      </c>
      <c r="E81" s="16">
        <f>IF(ISERROR(VLOOKUP($C81,'START LİSTE'!$B$6:$F$836,4,0)),"",VLOOKUP($C81,'START LİSTE'!$B$6:$F$836,4,0))</f>
      </c>
      <c r="F81" s="106">
        <f>IF(ISERROR(VLOOKUP($C81,'FERDİ SONUÇ'!$B$6:$H$962,6,0)),"",VLOOKUP($C81,'FERDİ SONUÇ'!$B$6:$H$962,6,0))</f>
      </c>
      <c r="G81" s="18" t="str">
        <f>IF(OR(E81="",F81="DQ",F81="DNF",F81="DNS",F81=""),"-",VLOOKUP(C81,'FERDİ SONUÇ'!$B$6:$H$962,7,0))</f>
        <v>-</v>
      </c>
      <c r="H81" s="147"/>
    </row>
    <row r="82" spans="1:8" ht="14.25" customHeight="1">
      <c r="A82" s="6"/>
      <c r="B82" s="7"/>
      <c r="C82" s="95">
        <f>IF(A84="","",INDEX('TAKIM KAYIT'!$D$6:$D$125,MATCH(C84,'TAKIM KAYIT'!$D$6:$D$125,0)-2))</f>
      </c>
      <c r="D82" s="8">
        <f>IF(ISERROR(VLOOKUP($C82,'START LİSTE'!$B$6:$F$836,2,0)),"",VLOOKUP($C82,'START LİSTE'!$B$6:$F$836,2,0))</f>
      </c>
      <c r="E82" s="9">
        <f>IF(ISERROR(VLOOKUP($C82,'START LİSTE'!$B$6:$F$836,4,0)),"",VLOOKUP($C82,'START LİSTE'!$B$6:$F$836,4,0))</f>
      </c>
      <c r="F82" s="105">
        <f>IF(ISERROR(VLOOKUP($C82,'FERDİ SONUÇ'!$B$6:$H$962,6,0)),"",VLOOKUP($C82,'FERDİ SONUÇ'!$B$6:$H$962,6,0))</f>
      </c>
      <c r="G82" s="11" t="str">
        <f>IF(OR(E82="",F82="DQ",F82="DNF",F82="DNS",F82=""),"-",VLOOKUP(C82,'FERDİ SONUÇ'!$B$6:$H$962,7,0))</f>
        <v>-</v>
      </c>
      <c r="H82" s="146"/>
    </row>
    <row r="83" spans="1:8" ht="14.25" customHeight="1">
      <c r="A83" s="13"/>
      <c r="B83" s="14"/>
      <c r="C83" s="96">
        <f>IF(A84="","",INDEX('TAKIM KAYIT'!$D$6:$D$125,MATCH(C84,'TAKIM KAYIT'!$D$6:$D$125,0)-1))</f>
      </c>
      <c r="D83" s="15">
        <f>IF(ISERROR(VLOOKUP($C83,'START LİSTE'!$B$6:$F$836,2,0)),"",VLOOKUP($C83,'START LİSTE'!$B$6:$F$836,2,0))</f>
      </c>
      <c r="E83" s="16">
        <f>IF(ISERROR(VLOOKUP($C83,'START LİSTE'!$B$6:$F$836,4,0)),"",VLOOKUP($C83,'START LİSTE'!$B$6:$F$836,4,0))</f>
      </c>
      <c r="F83" s="106">
        <f>IF(ISERROR(VLOOKUP($C83,'FERDİ SONUÇ'!$B$6:$H$962,6,0)),"",VLOOKUP($C83,'FERDİ SONUÇ'!$B$6:$H$962,6,0))</f>
      </c>
      <c r="G83" s="18" t="str">
        <f>IF(OR(E83="",F83="DQ",F83="DNF",F83="DNS",F83=""),"-",VLOOKUP(C83,'FERDİ SONUÇ'!$B$6:$H$962,7,0))</f>
        <v>-</v>
      </c>
      <c r="H83" s="147"/>
    </row>
    <row r="84" spans="1:8" ht="14.25" customHeight="1">
      <c r="A84" s="60">
        <f>IF(ISERROR(SMALL('TAKIM KAYIT'!$B$6:$B$125,20)),"",SMALL('TAKIM KAYIT'!$B$6:$B$125,20))</f>
      </c>
      <c r="B84" s="14">
        <f>IF(A84="","",VLOOKUP(A84,'TAKIM KAYIT'!$B$6:$O$125,2,FALSE))</f>
      </c>
      <c r="C84" s="96">
        <f>IF(A84="","",VLOOKUP(A84,'TAKIM KAYIT'!$B$6:$O$125,3,FALSE))</f>
      </c>
      <c r="D84" s="15">
        <f>IF(ISERROR(VLOOKUP($C84,'START LİSTE'!$B$6:$F$836,2,0)),"",VLOOKUP($C84,'START LİSTE'!$B$6:$F$836,2,0))</f>
      </c>
      <c r="E84" s="16">
        <f>IF(ISERROR(VLOOKUP($C84,'START LİSTE'!$B$6:$F$836,4,0)),"",VLOOKUP($C84,'START LİSTE'!$B$6:$F$836,4,0))</f>
      </c>
      <c r="F84" s="106">
        <f>IF(ISERROR(VLOOKUP($C84,'FERDİ SONUÇ'!$B$6:$H$962,6,0)),"",VLOOKUP($C84,'FERDİ SONUÇ'!$B$6:$H$962,6,0))</f>
      </c>
      <c r="G84" s="18" t="str">
        <f>IF(OR(E84="",F84="DQ",F84="DNF",F84="DNS",F84=""),"-",VLOOKUP(C84,'FERDİ SONUÇ'!$B$6:$H$962,7,0))</f>
        <v>-</v>
      </c>
      <c r="H84" s="143">
        <f>IF(A84="","",VLOOKUP(A84,'TAKIM KAYIT'!$B$6:$P$125,13,FALSE))</f>
      </c>
    </row>
    <row r="85" spans="1:8" ht="14.25" customHeight="1">
      <c r="A85" s="13"/>
      <c r="B85" s="14"/>
      <c r="C85" s="96">
        <f>IF(A84="","",INDEX('TAKIM KAYIT'!$D$6:$D$125,MATCH(C84,'TAKIM KAYIT'!$D$6:$D$125,0)+1))</f>
      </c>
      <c r="D85" s="15">
        <f>IF(ISERROR(VLOOKUP($C85,'START LİSTE'!$B$6:$F$836,2,0)),"",VLOOKUP($C85,'START LİSTE'!$B$6:$F$836,2,0))</f>
      </c>
      <c r="E85" s="16">
        <f>IF(ISERROR(VLOOKUP($C85,'START LİSTE'!$B$6:$F$836,4,0)),"",VLOOKUP($C85,'START LİSTE'!$B$6:$F$836,4,0))</f>
      </c>
      <c r="F85" s="106">
        <f>IF(ISERROR(VLOOKUP($C85,'FERDİ SONUÇ'!$B$6:$H$962,6,0)),"",VLOOKUP($C85,'FERDİ SONUÇ'!$B$6:$H$962,6,0))</f>
      </c>
      <c r="G85" s="18" t="str">
        <f>IF(OR(E85="",F85="DQ",F85="DNF",F85="DNS",F85=""),"-",VLOOKUP(C85,'FERDİ SONUÇ'!$B$6:$H$962,7,0))</f>
        <v>-</v>
      </c>
      <c r="H85" s="147"/>
    </row>
    <row r="86" spans="1:8" ht="14.25" customHeight="1">
      <c r="A86" s="6"/>
      <c r="B86" s="7"/>
      <c r="C86" s="95">
        <f>IF(A88="","",INDEX('TAKIM KAYIT'!$D$6:$D$125,MATCH(C88,'TAKIM KAYIT'!$D$6:$D$125,0)-2))</f>
      </c>
      <c r="D86" s="8">
        <f>IF(ISERROR(VLOOKUP($C86,'START LİSTE'!$B$6:$F$836,2,0)),"",VLOOKUP($C86,'START LİSTE'!$B$6:$F$836,2,0))</f>
      </c>
      <c r="E86" s="9">
        <f>IF(ISERROR(VLOOKUP($C86,'START LİSTE'!$B$6:$F$836,4,0)),"",VLOOKUP($C86,'START LİSTE'!$B$6:$F$836,4,0))</f>
      </c>
      <c r="F86" s="105">
        <f>IF(ISERROR(VLOOKUP($C86,'FERDİ SONUÇ'!$B$6:$H$962,6,0)),"",VLOOKUP($C86,'FERDİ SONUÇ'!$B$6:$H$962,6,0))</f>
      </c>
      <c r="G86" s="11" t="str">
        <f>IF(OR(E86="",F86="DQ",F86="DNF",F86="DNS",F86=""),"-",VLOOKUP(C86,'FERDİ SONUÇ'!$B$6:$H$962,7,0))</f>
        <v>-</v>
      </c>
      <c r="H86" s="146"/>
    </row>
    <row r="87" spans="1:8" ht="14.25" customHeight="1">
      <c r="A87" s="13"/>
      <c r="B87" s="14"/>
      <c r="C87" s="96">
        <f>IF(A88="","",INDEX('TAKIM KAYIT'!$D$6:$D$125,MATCH(C88,'TAKIM KAYIT'!$D$6:$D$125,0)-1))</f>
      </c>
      <c r="D87" s="15">
        <f>IF(ISERROR(VLOOKUP($C87,'START LİSTE'!$B$6:$F$836,2,0)),"",VLOOKUP($C87,'START LİSTE'!$B$6:$F$836,2,0))</f>
      </c>
      <c r="E87" s="16">
        <f>IF(ISERROR(VLOOKUP($C87,'START LİSTE'!$B$6:$F$836,4,0)),"",VLOOKUP($C87,'START LİSTE'!$B$6:$F$836,4,0))</f>
      </c>
      <c r="F87" s="106">
        <f>IF(ISERROR(VLOOKUP($C87,'FERDİ SONUÇ'!$B$6:$H$962,6,0)),"",VLOOKUP($C87,'FERDİ SONUÇ'!$B$6:$H$962,6,0))</f>
      </c>
      <c r="G87" s="18" t="str">
        <f>IF(OR(E87="",F87="DQ",F87="DNF",F87="DNS",F87=""),"-",VLOOKUP(C87,'FERDİ SONUÇ'!$B$6:$H$962,7,0))</f>
        <v>-</v>
      </c>
      <c r="H87" s="147"/>
    </row>
    <row r="88" spans="1:8" ht="14.25" customHeight="1">
      <c r="A88" s="58">
        <f>IF(ISERROR(SMALL('TAKIM KAYIT'!$B$6:$B$125,21)),"",SMALL('TAKIM KAYIT'!$B$6:$B$125,21))</f>
      </c>
      <c r="B88" s="14">
        <f>IF(A88="","",VLOOKUP(A88,'TAKIM KAYIT'!$B$6:$O$125,2,FALSE))</f>
      </c>
      <c r="C88" s="96">
        <f>IF(A88="","",VLOOKUP(A88,'TAKIM KAYIT'!$B$6:$O$125,3,FALSE))</f>
      </c>
      <c r="D88" s="15">
        <f>IF(ISERROR(VLOOKUP($C88,'START LİSTE'!$B$6:$F$836,2,0)),"",VLOOKUP($C88,'START LİSTE'!$B$6:$F$836,2,0))</f>
      </c>
      <c r="E88" s="16">
        <f>IF(ISERROR(VLOOKUP($C88,'START LİSTE'!$B$6:$F$836,4,0)),"",VLOOKUP($C88,'START LİSTE'!$B$6:$F$836,4,0))</f>
      </c>
      <c r="F88" s="106">
        <f>IF(ISERROR(VLOOKUP($C88,'FERDİ SONUÇ'!$B$6:$H$962,6,0)),"",VLOOKUP($C88,'FERDİ SONUÇ'!$B$6:$H$962,6,0))</f>
      </c>
      <c r="G88" s="18" t="str">
        <f>IF(OR(E88="",F88="DQ",F88="DNF",F88="DNS",F88=""),"-",VLOOKUP(C88,'FERDİ SONUÇ'!$B$6:$H$962,7,0))</f>
        <v>-</v>
      </c>
      <c r="H88" s="143">
        <f>IF(A88="","",VLOOKUP(A88,'TAKIM KAYIT'!$B$6:$P$125,13,FALSE))</f>
      </c>
    </row>
    <row r="89" spans="1:8" ht="14.25" customHeight="1">
      <c r="A89" s="13"/>
      <c r="B89" s="14"/>
      <c r="C89" s="96">
        <f>IF(A88="","",INDEX('TAKIM KAYIT'!$D$6:$D$125,MATCH(C88,'TAKIM KAYIT'!$D$6:$D$125,0)+1))</f>
      </c>
      <c r="D89" s="15">
        <f>IF(ISERROR(VLOOKUP($C89,'START LİSTE'!$B$6:$F$836,2,0)),"",VLOOKUP($C89,'START LİSTE'!$B$6:$F$836,2,0))</f>
      </c>
      <c r="E89" s="16">
        <f>IF(ISERROR(VLOOKUP($C89,'START LİSTE'!$B$6:$F$836,4,0)),"",VLOOKUP($C89,'START LİSTE'!$B$6:$F$836,4,0))</f>
      </c>
      <c r="F89" s="106">
        <f>IF(ISERROR(VLOOKUP($C89,'FERDİ SONUÇ'!$B$6:$H$962,6,0)),"",VLOOKUP($C89,'FERDİ SONUÇ'!$B$6:$H$962,6,0))</f>
      </c>
      <c r="G89" s="18" t="str">
        <f>IF(OR(E89="",F89="DQ",F89="DNF",F89="DNS",F89=""),"-",VLOOKUP(C89,'FERDİ SONUÇ'!$B$6:$H$962,7,0))</f>
        <v>-</v>
      </c>
      <c r="H89" s="147"/>
    </row>
    <row r="90" spans="1:8" ht="14.25" customHeight="1">
      <c r="A90" s="6"/>
      <c r="B90" s="7"/>
      <c r="C90" s="95">
        <f>IF(A92="","",INDEX('TAKIM KAYIT'!$D$6:$D$125,MATCH(C92,'TAKIM KAYIT'!$D$6:$D$125,0)-2))</f>
      </c>
      <c r="D90" s="8">
        <f>IF(ISERROR(VLOOKUP($C90,'START LİSTE'!$B$6:$F$836,2,0)),"",VLOOKUP($C90,'START LİSTE'!$B$6:$F$836,2,0))</f>
      </c>
      <c r="E90" s="9">
        <f>IF(ISERROR(VLOOKUP($C90,'START LİSTE'!$B$6:$F$836,4,0)),"",VLOOKUP($C90,'START LİSTE'!$B$6:$F$836,4,0))</f>
      </c>
      <c r="F90" s="105">
        <f>IF(ISERROR(VLOOKUP($C90,'FERDİ SONUÇ'!$B$6:$H$962,6,0)),"",VLOOKUP($C90,'FERDİ SONUÇ'!$B$6:$H$962,6,0))</f>
      </c>
      <c r="G90" s="11" t="str">
        <f>IF(OR(E90="",F90="DQ",F90="DNF",F90="DNS",F90=""),"-",VLOOKUP(C90,'FERDİ SONUÇ'!$B$6:$H$962,7,0))</f>
        <v>-</v>
      </c>
      <c r="H90" s="146"/>
    </row>
    <row r="91" spans="1:8" ht="14.25" customHeight="1">
      <c r="A91" s="13"/>
      <c r="B91" s="14"/>
      <c r="C91" s="96">
        <f>IF(A92="","",INDEX('TAKIM KAYIT'!$D$6:$D$125,MATCH(C92,'TAKIM KAYIT'!$D$6:$D$125,0)-1))</f>
      </c>
      <c r="D91" s="15">
        <f>IF(ISERROR(VLOOKUP($C91,'START LİSTE'!$B$6:$F$836,2,0)),"",VLOOKUP($C91,'START LİSTE'!$B$6:$F$836,2,0))</f>
      </c>
      <c r="E91" s="16">
        <f>IF(ISERROR(VLOOKUP($C91,'START LİSTE'!$B$6:$F$836,4,0)),"",VLOOKUP($C91,'START LİSTE'!$B$6:$F$836,4,0))</f>
      </c>
      <c r="F91" s="106">
        <f>IF(ISERROR(VLOOKUP($C91,'FERDİ SONUÇ'!$B$6:$H$962,6,0)),"",VLOOKUP($C91,'FERDİ SONUÇ'!$B$6:$H$962,6,0))</f>
      </c>
      <c r="G91" s="18" t="str">
        <f>IF(OR(E91="",F91="DQ",F91="DNF",F91="DNS",F91=""),"-",VLOOKUP(C91,'FERDİ SONUÇ'!$B$6:$H$962,7,0))</f>
        <v>-</v>
      </c>
      <c r="H91" s="147"/>
    </row>
    <row r="92" spans="1:8" ht="14.25" customHeight="1">
      <c r="A92" s="58">
        <f>IF(ISERROR(SMALL('TAKIM KAYIT'!$B$6:$B$125,22)),"",SMALL('TAKIM KAYIT'!$B$6:$B$125,22))</f>
      </c>
      <c r="B92" s="14">
        <f>IF(A92="","",VLOOKUP(A92,'TAKIM KAYIT'!$B$6:$O$125,2,FALSE))</f>
      </c>
      <c r="C92" s="96">
        <f>IF(A92="","",VLOOKUP(A92,'TAKIM KAYIT'!$B$6:$O$125,3,FALSE))</f>
      </c>
      <c r="D92" s="15">
        <f>IF(ISERROR(VLOOKUP($C92,'START LİSTE'!$B$6:$F$836,2,0)),"",VLOOKUP($C92,'START LİSTE'!$B$6:$F$836,2,0))</f>
      </c>
      <c r="E92" s="16">
        <f>IF(ISERROR(VLOOKUP($C92,'START LİSTE'!$B$6:$F$836,4,0)),"",VLOOKUP($C92,'START LİSTE'!$B$6:$F$836,4,0))</f>
      </c>
      <c r="F92" s="106">
        <f>IF(ISERROR(VLOOKUP($C92,'FERDİ SONUÇ'!$B$6:$H$962,6,0)),"",VLOOKUP($C92,'FERDİ SONUÇ'!$B$6:$H$962,6,0))</f>
      </c>
      <c r="G92" s="18" t="str">
        <f>IF(OR(E92="",F92="DQ",F92="DNF",F92="DNS",F92=""),"-",VLOOKUP(C92,'FERDİ SONUÇ'!$B$6:$H$962,7,0))</f>
        <v>-</v>
      </c>
      <c r="H92" s="143">
        <f>IF(A92="","",VLOOKUP(A92,'TAKIM KAYIT'!$B$6:$P$125,13,FALSE))</f>
      </c>
    </row>
    <row r="93" spans="1:8" ht="14.25" customHeight="1">
      <c r="A93" s="13"/>
      <c r="B93" s="14"/>
      <c r="C93" s="96">
        <f>IF(A92="","",INDEX('TAKIM KAYIT'!$D$6:$D$125,MATCH(C92,'TAKIM KAYIT'!$D$6:$D$125,0)+1))</f>
      </c>
      <c r="D93" s="15">
        <f>IF(ISERROR(VLOOKUP($C93,'START LİSTE'!$B$6:$F$836,2,0)),"",VLOOKUP($C93,'START LİSTE'!$B$6:$F$836,2,0))</f>
      </c>
      <c r="E93" s="16">
        <f>IF(ISERROR(VLOOKUP($C93,'START LİSTE'!$B$6:$F$836,4,0)),"",VLOOKUP($C93,'START LİSTE'!$B$6:$F$836,4,0))</f>
      </c>
      <c r="F93" s="106">
        <f>IF(ISERROR(VLOOKUP($C93,'FERDİ SONUÇ'!$B$6:$H$962,6,0)),"",VLOOKUP($C93,'FERDİ SONUÇ'!$B$6:$H$962,6,0))</f>
      </c>
      <c r="G93" s="18" t="str">
        <f>IF(OR(E93="",F93="DQ",F93="DNF",F93="DNS",F93=""),"-",VLOOKUP(C93,'FERDİ SONUÇ'!$B$6:$H$962,7,0))</f>
        <v>-</v>
      </c>
      <c r="H93" s="147"/>
    </row>
    <row r="94" spans="1:8" ht="14.25" customHeight="1">
      <c r="A94" s="6"/>
      <c r="B94" s="7"/>
      <c r="C94" s="95">
        <f>IF(A96="","",INDEX('TAKIM KAYIT'!$D$6:$D$125,MATCH(C96,'TAKIM KAYIT'!$D$6:$D$125,0)-2))</f>
      </c>
      <c r="D94" s="8">
        <f>IF(ISERROR(VLOOKUP($C94,'START LİSTE'!$B$6:$F$836,2,0)),"",VLOOKUP($C94,'START LİSTE'!$B$6:$F$836,2,0))</f>
      </c>
      <c r="E94" s="9">
        <f>IF(ISERROR(VLOOKUP($C94,'START LİSTE'!$B$6:$F$836,4,0)),"",VLOOKUP($C94,'START LİSTE'!$B$6:$F$836,4,0))</f>
      </c>
      <c r="F94" s="105">
        <f>IF(ISERROR(VLOOKUP($C94,'FERDİ SONUÇ'!$B$6:$H$962,6,0)),"",VLOOKUP($C94,'FERDİ SONUÇ'!$B$6:$H$962,6,0))</f>
      </c>
      <c r="G94" s="11" t="str">
        <f>IF(OR(E94="",F94="DQ",F94="DNF",F94="DNS",F94=""),"-",VLOOKUP(C94,'FERDİ SONUÇ'!$B$6:$H$962,7,0))</f>
        <v>-</v>
      </c>
      <c r="H94" s="146"/>
    </row>
    <row r="95" spans="1:8" ht="14.25" customHeight="1">
      <c r="A95" s="13"/>
      <c r="B95" s="14"/>
      <c r="C95" s="96">
        <f>IF(A96="","",INDEX('TAKIM KAYIT'!$D$6:$D$125,MATCH(C96,'TAKIM KAYIT'!$D$6:$D$125,0)-1))</f>
      </c>
      <c r="D95" s="15">
        <f>IF(ISERROR(VLOOKUP($C95,'START LİSTE'!$B$6:$F$836,2,0)),"",VLOOKUP($C95,'START LİSTE'!$B$6:$F$836,2,0))</f>
      </c>
      <c r="E95" s="16">
        <f>IF(ISERROR(VLOOKUP($C95,'START LİSTE'!$B$6:$F$836,4,0)),"",VLOOKUP($C95,'START LİSTE'!$B$6:$F$836,4,0))</f>
      </c>
      <c r="F95" s="106">
        <f>IF(ISERROR(VLOOKUP($C95,'FERDİ SONUÇ'!$B$6:$H$962,6,0)),"",VLOOKUP($C95,'FERDİ SONUÇ'!$B$6:$H$962,6,0))</f>
      </c>
      <c r="G95" s="18" t="str">
        <f>IF(OR(E95="",F95="DQ",F95="DNF",F95="DNS",F95=""),"-",VLOOKUP(C95,'FERDİ SONUÇ'!$B$6:$H$962,7,0))</f>
        <v>-</v>
      </c>
      <c r="H95" s="147"/>
    </row>
    <row r="96" spans="1:8" ht="14.25" customHeight="1">
      <c r="A96" s="58">
        <f>IF(ISERROR(SMALL('TAKIM KAYIT'!$B$6:$B$125,23)),"",SMALL('TAKIM KAYIT'!$B$6:$B$125,23))</f>
      </c>
      <c r="B96" s="14">
        <f>IF(A96="","",VLOOKUP(A96,'TAKIM KAYIT'!$B$6:$O$125,2,FALSE))</f>
      </c>
      <c r="C96" s="96">
        <f>IF(A96="","",VLOOKUP(A96,'TAKIM KAYIT'!$B$6:$O$125,3,FALSE))</f>
      </c>
      <c r="D96" s="15">
        <f>IF(ISERROR(VLOOKUP($C96,'START LİSTE'!$B$6:$F$836,2,0)),"",VLOOKUP($C96,'START LİSTE'!$B$6:$F$836,2,0))</f>
      </c>
      <c r="E96" s="16">
        <f>IF(ISERROR(VLOOKUP($C96,'START LİSTE'!$B$6:$F$836,4,0)),"",VLOOKUP($C96,'START LİSTE'!$B$6:$F$836,4,0))</f>
      </c>
      <c r="F96" s="106">
        <f>IF(ISERROR(VLOOKUP($C96,'FERDİ SONUÇ'!$B$6:$H$962,6,0)),"",VLOOKUP($C96,'FERDİ SONUÇ'!$B$6:$H$962,6,0))</f>
      </c>
      <c r="G96" s="18" t="str">
        <f>IF(OR(E96="",F96="DQ",F96="DNF",F96="DNS",F96=""),"-",VLOOKUP(C96,'FERDİ SONUÇ'!$B$6:$H$962,7,0))</f>
        <v>-</v>
      </c>
      <c r="H96" s="143">
        <f>IF(A96="","",VLOOKUP(A96,'TAKIM KAYIT'!$B$6:$P$125,13,FALSE))</f>
      </c>
    </row>
    <row r="97" spans="1:8" ht="14.25" customHeight="1">
      <c r="A97" s="13"/>
      <c r="B97" s="14"/>
      <c r="C97" s="96">
        <f>IF(A96="","",INDEX('TAKIM KAYIT'!$D$6:$D$125,MATCH(C96,'TAKIM KAYIT'!$D$6:$D$125,0)+1))</f>
      </c>
      <c r="D97" s="15">
        <f>IF(ISERROR(VLOOKUP($C97,'START LİSTE'!$B$6:$F$836,2,0)),"",VLOOKUP($C97,'START LİSTE'!$B$6:$F$836,2,0))</f>
      </c>
      <c r="E97" s="16">
        <f>IF(ISERROR(VLOOKUP($C97,'START LİSTE'!$B$6:$F$836,4,0)),"",VLOOKUP($C97,'START LİSTE'!$B$6:$F$836,4,0))</f>
      </c>
      <c r="F97" s="106">
        <f>IF(ISERROR(VLOOKUP($C97,'FERDİ SONUÇ'!$B$6:$H$962,6,0)),"",VLOOKUP($C97,'FERDİ SONUÇ'!$B$6:$H$962,6,0))</f>
      </c>
      <c r="G97" s="18" t="str">
        <f>IF(OR(E97="",F97="DQ",F97="DNF",F97="DNS",F97=""),"-",VLOOKUP(C97,'FERDİ SONUÇ'!$B$6:$H$962,7,0))</f>
        <v>-</v>
      </c>
      <c r="H97" s="147"/>
    </row>
    <row r="98" spans="1:8" ht="14.25" customHeight="1">
      <c r="A98" s="6"/>
      <c r="B98" s="7"/>
      <c r="C98" s="95">
        <f>IF(A100="","",INDEX('TAKIM KAYIT'!$D$6:$D$125,MATCH(C100,'TAKIM KAYIT'!$D$6:$D$125,0)-2))</f>
      </c>
      <c r="D98" s="8">
        <f>IF(ISERROR(VLOOKUP($C98,'START LİSTE'!$B$6:$F$836,2,0)),"",VLOOKUP($C98,'START LİSTE'!$B$6:$F$836,2,0))</f>
      </c>
      <c r="E98" s="9">
        <f>IF(ISERROR(VLOOKUP($C98,'START LİSTE'!$B$6:$F$836,4,0)),"",VLOOKUP($C98,'START LİSTE'!$B$6:$F$836,4,0))</f>
      </c>
      <c r="F98" s="105">
        <f>IF(ISERROR(VLOOKUP($C98,'FERDİ SONUÇ'!$B$6:$H$962,6,0)),"",VLOOKUP($C98,'FERDİ SONUÇ'!$B$6:$H$962,6,0))</f>
      </c>
      <c r="G98" s="11" t="str">
        <f>IF(OR(E98="",F98="DQ",F98="DNF",F98="DNS",F98=""),"-",VLOOKUP(C98,'FERDİ SONUÇ'!$B$6:$H$962,7,0))</f>
        <v>-</v>
      </c>
      <c r="H98" s="146"/>
    </row>
    <row r="99" spans="1:8" ht="14.25" customHeight="1">
      <c r="A99" s="13"/>
      <c r="B99" s="14"/>
      <c r="C99" s="96">
        <f>IF(A100="","",INDEX('TAKIM KAYIT'!$D$6:$D$125,MATCH(C100,'TAKIM KAYIT'!$D$6:$D$125,0)-1))</f>
      </c>
      <c r="D99" s="15">
        <f>IF(ISERROR(VLOOKUP($C99,'START LİSTE'!$B$6:$F$836,2,0)),"",VLOOKUP($C99,'START LİSTE'!$B$6:$F$836,2,0))</f>
      </c>
      <c r="E99" s="16">
        <f>IF(ISERROR(VLOOKUP($C99,'START LİSTE'!$B$6:$F$836,4,0)),"",VLOOKUP($C99,'START LİSTE'!$B$6:$F$836,4,0))</f>
      </c>
      <c r="F99" s="106">
        <f>IF(ISERROR(VLOOKUP($C99,'FERDİ SONUÇ'!$B$6:$H$962,6,0)),"",VLOOKUP($C99,'FERDİ SONUÇ'!$B$6:$H$962,6,0))</f>
      </c>
      <c r="G99" s="18" t="str">
        <f>IF(OR(E99="",F99="DQ",F99="DNF",F99="DNS",F99=""),"-",VLOOKUP(C99,'FERDİ SONUÇ'!$B$6:$H$962,7,0))</f>
        <v>-</v>
      </c>
      <c r="H99" s="147"/>
    </row>
    <row r="100" spans="1:8" ht="14.25" customHeight="1">
      <c r="A100" s="58">
        <f>IF(ISERROR(SMALL('TAKIM KAYIT'!$B$6:$B$125,24)),"",SMALL('TAKIM KAYIT'!$B$6:$B$125,24))</f>
      </c>
      <c r="B100" s="14">
        <f>IF(A100="","",VLOOKUP(A100,'TAKIM KAYIT'!$B$6:$O$125,2,FALSE))</f>
      </c>
      <c r="C100" s="96">
        <f>IF(A100="","",VLOOKUP(A100,'TAKIM KAYIT'!$B$6:$O$125,3,FALSE))</f>
      </c>
      <c r="D100" s="15">
        <f>IF(ISERROR(VLOOKUP($C100,'START LİSTE'!$B$6:$F$836,2,0)),"",VLOOKUP($C100,'START LİSTE'!$B$6:$F$836,2,0))</f>
      </c>
      <c r="E100" s="16">
        <f>IF(ISERROR(VLOOKUP($C100,'START LİSTE'!$B$6:$F$836,4,0)),"",VLOOKUP($C100,'START LİSTE'!$B$6:$F$836,4,0))</f>
      </c>
      <c r="F100" s="106">
        <f>IF(ISERROR(VLOOKUP($C100,'FERDİ SONUÇ'!$B$6:$H$962,6,0)),"",VLOOKUP($C100,'FERDİ SONUÇ'!$B$6:$H$962,6,0))</f>
      </c>
      <c r="G100" s="18" t="str">
        <f>IF(OR(E100="",F100="DQ",F100="DNF",F100="DNS",F100=""),"-",VLOOKUP(C100,'FERDİ SONUÇ'!$B$6:$H$962,7,0))</f>
        <v>-</v>
      </c>
      <c r="H100" s="143">
        <f>IF(A100="","",VLOOKUP(A100,'TAKIM KAYIT'!$B$6:$P$125,13,FALSE))</f>
      </c>
    </row>
    <row r="101" spans="1:8" ht="14.25" customHeight="1">
      <c r="A101" s="13"/>
      <c r="B101" s="14"/>
      <c r="C101" s="96">
        <f>IF(A100="","",INDEX('TAKIM KAYIT'!$D$6:$D$125,MATCH(C100,'TAKIM KAYIT'!$D$6:$D$125,0)+1))</f>
      </c>
      <c r="D101" s="15">
        <f>IF(ISERROR(VLOOKUP($C101,'START LİSTE'!$B$6:$F$836,2,0)),"",VLOOKUP($C101,'START LİSTE'!$B$6:$F$836,2,0))</f>
      </c>
      <c r="E101" s="16">
        <f>IF(ISERROR(VLOOKUP($C101,'START LİSTE'!$B$6:$F$836,4,0)),"",VLOOKUP($C101,'START LİSTE'!$B$6:$F$836,4,0))</f>
      </c>
      <c r="F101" s="106">
        <f>IF(ISERROR(VLOOKUP($C101,'FERDİ SONUÇ'!$B$6:$H$962,6,0)),"",VLOOKUP($C101,'FERDİ SONUÇ'!$B$6:$H$962,6,0))</f>
      </c>
      <c r="G101" s="18" t="str">
        <f>IF(OR(E101="",F101="DQ",F101="DNF",F101="DNS",F101=""),"-",VLOOKUP(C101,'FERDİ SONUÇ'!$B$6:$H$962,7,0))</f>
        <v>-</v>
      </c>
      <c r="H101" s="147"/>
    </row>
    <row r="102" spans="1:8" ht="14.25" customHeight="1">
      <c r="A102" s="6"/>
      <c r="B102" s="7"/>
      <c r="C102" s="95">
        <f>IF(A104="","",INDEX('TAKIM KAYIT'!$D$6:$D$125,MATCH(C104,'TAKIM KAYIT'!$D$6:$D$125,0)-2))</f>
      </c>
      <c r="D102" s="8">
        <f>IF(ISERROR(VLOOKUP($C102,'START LİSTE'!$B$6:$F$836,2,0)),"",VLOOKUP($C102,'START LİSTE'!$B$6:$F$836,2,0))</f>
      </c>
      <c r="E102" s="9">
        <f>IF(ISERROR(VLOOKUP($C102,'START LİSTE'!$B$6:$F$836,4,0)),"",VLOOKUP($C102,'START LİSTE'!$B$6:$F$836,4,0))</f>
      </c>
      <c r="F102" s="105">
        <f>IF(ISERROR(VLOOKUP($C102,'FERDİ SONUÇ'!$B$6:$H$962,6,0)),"",VLOOKUP($C102,'FERDİ SONUÇ'!$B$6:$H$962,6,0))</f>
      </c>
      <c r="G102" s="11" t="str">
        <f>IF(OR(E102="",F102="DQ",F102="DNF",F102="DNS",F102=""),"-",VLOOKUP(C102,'FERDİ SONUÇ'!$B$6:$H$962,7,0))</f>
        <v>-</v>
      </c>
      <c r="H102" s="146"/>
    </row>
    <row r="103" spans="1:8" ht="14.25" customHeight="1">
      <c r="A103" s="13"/>
      <c r="B103" s="14"/>
      <c r="C103" s="96">
        <f>IF(A104="","",INDEX('TAKIM KAYIT'!$D$6:$D$125,MATCH(C104,'TAKIM KAYIT'!$D$6:$D$125,0)-1))</f>
      </c>
      <c r="D103" s="15">
        <f>IF(ISERROR(VLOOKUP($C103,'START LİSTE'!$B$6:$F$836,2,0)),"",VLOOKUP($C103,'START LİSTE'!$B$6:$F$836,2,0))</f>
      </c>
      <c r="E103" s="16">
        <f>IF(ISERROR(VLOOKUP($C103,'START LİSTE'!$B$6:$F$836,4,0)),"",VLOOKUP($C103,'START LİSTE'!$B$6:$F$836,4,0))</f>
      </c>
      <c r="F103" s="106">
        <f>IF(ISERROR(VLOOKUP($C103,'FERDİ SONUÇ'!$B$6:$H$962,6,0)),"",VLOOKUP($C103,'FERDİ SONUÇ'!$B$6:$H$962,6,0))</f>
      </c>
      <c r="G103" s="18" t="str">
        <f>IF(OR(E103="",F103="DQ",F103="DNF",F103="DNS",F103=""),"-",VLOOKUP(C103,'FERDİ SONUÇ'!$B$6:$H$962,7,0))</f>
        <v>-</v>
      </c>
      <c r="H103" s="147"/>
    </row>
    <row r="104" spans="1:8" ht="14.25" customHeight="1">
      <c r="A104" s="58">
        <f>IF(ISERROR(SMALL('TAKIM KAYIT'!$B$6:$B$125,25)),"",SMALL('TAKIM KAYIT'!$B$6:$B$125,25))</f>
      </c>
      <c r="B104" s="14">
        <f>IF(A104="","",VLOOKUP(A104,'TAKIM KAYIT'!$B$6:$O$125,2,FALSE))</f>
      </c>
      <c r="C104" s="96">
        <f>IF(A104="","",VLOOKUP(A104,'TAKIM KAYIT'!$B$6:$O$125,3,FALSE))</f>
      </c>
      <c r="D104" s="15">
        <f>IF(ISERROR(VLOOKUP($C104,'START LİSTE'!$B$6:$F$836,2,0)),"",VLOOKUP($C104,'START LİSTE'!$B$6:$F$836,2,0))</f>
      </c>
      <c r="E104" s="16">
        <f>IF(ISERROR(VLOOKUP($C104,'START LİSTE'!$B$6:$F$836,4,0)),"",VLOOKUP($C104,'START LİSTE'!$B$6:$F$836,4,0))</f>
      </c>
      <c r="F104" s="106">
        <f>IF(ISERROR(VLOOKUP($C104,'FERDİ SONUÇ'!$B$6:$H$962,6,0)),"",VLOOKUP($C104,'FERDİ SONUÇ'!$B$6:$H$962,6,0))</f>
      </c>
      <c r="G104" s="18" t="str">
        <f>IF(OR(E104="",F104="DQ",F104="DNF",F104="DNS",F104=""),"-",VLOOKUP(C104,'FERDİ SONUÇ'!$B$6:$H$962,7,0))</f>
        <v>-</v>
      </c>
      <c r="H104" s="143">
        <f>IF(A104="","",VLOOKUP(A104,'TAKIM KAYIT'!$B$6:$P$125,13,FALSE))</f>
      </c>
    </row>
    <row r="105" spans="1:8" ht="14.25" customHeight="1">
      <c r="A105" s="13"/>
      <c r="B105" s="14"/>
      <c r="C105" s="96">
        <f>IF(A104="","",INDEX('TAKIM KAYIT'!$D$6:$D$125,MATCH(C104,'TAKIM KAYIT'!$D$6:$D$125,0)+1))</f>
      </c>
      <c r="D105" s="15">
        <f>IF(ISERROR(VLOOKUP($C105,'START LİSTE'!$B$6:$F$836,2,0)),"",VLOOKUP($C105,'START LİSTE'!$B$6:$F$836,2,0))</f>
      </c>
      <c r="E105" s="16">
        <f>IF(ISERROR(VLOOKUP($C105,'START LİSTE'!$B$6:$F$836,4,0)),"",VLOOKUP($C105,'START LİSTE'!$B$6:$F$836,4,0))</f>
      </c>
      <c r="F105" s="106">
        <f>IF(ISERROR(VLOOKUP($C105,'FERDİ SONUÇ'!$B$6:$H$962,6,0)),"",VLOOKUP($C105,'FERDİ SONUÇ'!$B$6:$H$962,6,0))</f>
      </c>
      <c r="G105" s="18" t="str">
        <f>IF(OR(E105="",F105="DQ",F105="DNF",F105="DNS",F105=""),"-",VLOOKUP(C105,'FERDİ SONUÇ'!$B$6:$H$962,7,0))</f>
        <v>-</v>
      </c>
      <c r="H105" s="147"/>
    </row>
    <row r="106" spans="1:8" ht="14.25" customHeight="1">
      <c r="A106" s="6"/>
      <c r="B106" s="7"/>
      <c r="C106" s="95">
        <f>IF(A108="","",INDEX('TAKIM KAYIT'!$D$6:$D$125,MATCH(C108,'TAKIM KAYIT'!$D$6:$D$125,0)-2))</f>
      </c>
      <c r="D106" s="8">
        <f>IF(ISERROR(VLOOKUP($C106,'START LİSTE'!$B$6:$F$836,2,0)),"",VLOOKUP($C106,'START LİSTE'!$B$6:$F$836,2,0))</f>
      </c>
      <c r="E106" s="9">
        <f>IF(ISERROR(VLOOKUP($C106,'START LİSTE'!$B$6:$F$836,4,0)),"",VLOOKUP($C106,'START LİSTE'!$B$6:$F$836,4,0))</f>
      </c>
      <c r="F106" s="105">
        <f>IF(ISERROR(VLOOKUP($C106,'FERDİ SONUÇ'!$B$6:$H$962,6,0)),"",VLOOKUP($C106,'FERDİ SONUÇ'!$B$6:$H$962,6,0))</f>
      </c>
      <c r="G106" s="11" t="str">
        <f>IF(OR(E106="",F106="DQ",F106="DNF",F106="DNS",F106=""),"-",VLOOKUP(C106,'FERDİ SONUÇ'!$B$6:$H$962,7,0))</f>
        <v>-</v>
      </c>
      <c r="H106" s="146"/>
    </row>
    <row r="107" spans="1:8" ht="14.25" customHeight="1">
      <c r="A107" s="13"/>
      <c r="B107" s="14"/>
      <c r="C107" s="96">
        <f>IF(A108="","",INDEX('TAKIM KAYIT'!$D$6:$D$125,MATCH(C108,'TAKIM KAYIT'!$D$6:$D$125,0)-1))</f>
      </c>
      <c r="D107" s="15">
        <f>IF(ISERROR(VLOOKUP($C107,'START LİSTE'!$B$6:$F$836,2,0)),"",VLOOKUP($C107,'START LİSTE'!$B$6:$F$836,2,0))</f>
      </c>
      <c r="E107" s="16">
        <f>IF(ISERROR(VLOOKUP($C107,'START LİSTE'!$B$6:$F$836,4,0)),"",VLOOKUP($C107,'START LİSTE'!$B$6:$F$836,4,0))</f>
      </c>
      <c r="F107" s="106">
        <f>IF(ISERROR(VLOOKUP($C107,'FERDİ SONUÇ'!$B$6:$H$962,6,0)),"",VLOOKUP($C107,'FERDİ SONUÇ'!$B$6:$H$962,6,0))</f>
      </c>
      <c r="G107" s="18" t="str">
        <f>IF(OR(E107="",F107="DQ",F107="DNF",F107="DNS",F107=""),"-",VLOOKUP(C107,'FERDİ SONUÇ'!$B$6:$H$962,7,0))</f>
        <v>-</v>
      </c>
      <c r="H107" s="147"/>
    </row>
    <row r="108" spans="1:8" ht="14.25" customHeight="1">
      <c r="A108" s="58">
        <f>IF(ISERROR(SMALL('TAKIM KAYIT'!$B$6:$B$125,26)),"",SMALL('TAKIM KAYIT'!$B$6:$B$125,26))</f>
      </c>
      <c r="B108" s="14">
        <f>IF(A108="","",VLOOKUP(A108,'TAKIM KAYIT'!$B$6:$O$125,2,FALSE))</f>
      </c>
      <c r="C108" s="96">
        <f>IF(A108="","",VLOOKUP(A108,'TAKIM KAYIT'!$B$6:$O$125,3,FALSE))</f>
      </c>
      <c r="D108" s="15">
        <f>IF(ISERROR(VLOOKUP($C108,'START LİSTE'!$B$6:$F$836,2,0)),"",VLOOKUP($C108,'START LİSTE'!$B$6:$F$836,2,0))</f>
      </c>
      <c r="E108" s="16">
        <f>IF(ISERROR(VLOOKUP($C108,'START LİSTE'!$B$6:$F$836,4,0)),"",VLOOKUP($C108,'START LİSTE'!$B$6:$F$836,4,0))</f>
      </c>
      <c r="F108" s="106">
        <f>IF(ISERROR(VLOOKUP($C108,'FERDİ SONUÇ'!$B$6:$H$962,6,0)),"",VLOOKUP($C108,'FERDİ SONUÇ'!$B$6:$H$962,6,0))</f>
      </c>
      <c r="G108" s="18" t="str">
        <f>IF(OR(E108="",F108="DQ",F108="DNF",F108="DNS",F108=""),"-",VLOOKUP(C108,'FERDİ SONUÇ'!$B$6:$H$962,7,0))</f>
        <v>-</v>
      </c>
      <c r="H108" s="143">
        <f>IF(A108="","",VLOOKUP(A108,'TAKIM KAYIT'!$B$6:$P$125,13,FALSE))</f>
      </c>
    </row>
    <row r="109" spans="1:8" ht="14.25" customHeight="1">
      <c r="A109" s="13"/>
      <c r="B109" s="14"/>
      <c r="C109" s="96">
        <f>IF(A108="","",INDEX('TAKIM KAYIT'!$D$6:$D$125,MATCH(C108,'TAKIM KAYIT'!$D$6:$D$125,0)+1))</f>
      </c>
      <c r="D109" s="15">
        <f>IF(ISERROR(VLOOKUP($C109,'START LİSTE'!$B$6:$F$836,2,0)),"",VLOOKUP($C109,'START LİSTE'!$B$6:$F$836,2,0))</f>
      </c>
      <c r="E109" s="16">
        <f>IF(ISERROR(VLOOKUP($C109,'START LİSTE'!$B$6:$F$836,4,0)),"",VLOOKUP($C109,'START LİSTE'!$B$6:$F$836,4,0))</f>
      </c>
      <c r="F109" s="106">
        <f>IF(ISERROR(VLOOKUP($C109,'FERDİ SONUÇ'!$B$6:$H$962,6,0)),"",VLOOKUP($C109,'FERDİ SONUÇ'!$B$6:$H$962,6,0))</f>
      </c>
      <c r="G109" s="18" t="str">
        <f>IF(OR(E109="",F109="DQ",F109="DNF",F109="DNS",F109=""),"-",VLOOKUP(C109,'FERDİ SONUÇ'!$B$6:$H$962,7,0))</f>
        <v>-</v>
      </c>
      <c r="H109" s="147"/>
    </row>
    <row r="110" spans="1:8" ht="14.25" customHeight="1">
      <c r="A110" s="6"/>
      <c r="B110" s="7"/>
      <c r="C110" s="95">
        <f>IF(A112="","",INDEX('TAKIM KAYIT'!$D$6:$D$125,MATCH(C112,'TAKIM KAYIT'!$D$6:$D$125,0)-2))</f>
      </c>
      <c r="D110" s="8">
        <f>IF(ISERROR(VLOOKUP($C110,'START LİSTE'!$B$6:$F$836,2,0)),"",VLOOKUP($C110,'START LİSTE'!$B$6:$F$836,2,0))</f>
      </c>
      <c r="E110" s="9">
        <f>IF(ISERROR(VLOOKUP($C110,'START LİSTE'!$B$6:$F$836,4,0)),"",VLOOKUP($C110,'START LİSTE'!$B$6:$F$836,4,0))</f>
      </c>
      <c r="F110" s="105">
        <f>IF(ISERROR(VLOOKUP($C110,'FERDİ SONUÇ'!$B$6:$H$962,6,0)),"",VLOOKUP($C110,'FERDİ SONUÇ'!$B$6:$H$962,6,0))</f>
      </c>
      <c r="G110" s="11" t="str">
        <f>IF(OR(E110="",F110="DQ",F110="DNF",F110="DNS",F110=""),"-",VLOOKUP(C110,'FERDİ SONUÇ'!$B$6:$H$962,7,0))</f>
        <v>-</v>
      </c>
      <c r="H110" s="146"/>
    </row>
    <row r="111" spans="1:8" ht="14.25" customHeight="1">
      <c r="A111" s="13"/>
      <c r="B111" s="14"/>
      <c r="C111" s="96">
        <f>IF(A112="","",INDEX('TAKIM KAYIT'!$D$6:$D$125,MATCH(C112,'TAKIM KAYIT'!$D$6:$D$125,0)-1))</f>
      </c>
      <c r="D111" s="15">
        <f>IF(ISERROR(VLOOKUP($C111,'START LİSTE'!$B$6:$F$836,2,0)),"",VLOOKUP($C111,'START LİSTE'!$B$6:$F$836,2,0))</f>
      </c>
      <c r="E111" s="16">
        <f>IF(ISERROR(VLOOKUP($C111,'START LİSTE'!$B$6:$F$836,4,0)),"",VLOOKUP($C111,'START LİSTE'!$B$6:$F$836,4,0))</f>
      </c>
      <c r="F111" s="106">
        <f>IF(ISERROR(VLOOKUP($C111,'FERDİ SONUÇ'!$B$6:$H$962,6,0)),"",VLOOKUP($C111,'FERDİ SONUÇ'!$B$6:$H$962,6,0))</f>
      </c>
      <c r="G111" s="18" t="str">
        <f>IF(OR(E111="",F111="DQ",F111="DNF",F111="DNS",F111=""),"-",VLOOKUP(C111,'FERDİ SONUÇ'!$B$6:$H$962,7,0))</f>
        <v>-</v>
      </c>
      <c r="H111" s="147"/>
    </row>
    <row r="112" spans="1:8" ht="14.25" customHeight="1">
      <c r="A112" s="58">
        <f>IF(ISERROR(SMALL('TAKIM KAYIT'!$B$6:$B$125,27)),"",SMALL('TAKIM KAYIT'!$B$6:$B$125,27))</f>
      </c>
      <c r="B112" s="14">
        <f>IF(A112="","",VLOOKUP(A112,'TAKIM KAYIT'!$B$6:$O$125,2,FALSE))</f>
      </c>
      <c r="C112" s="96">
        <f>IF(A112="","",VLOOKUP(A112,'TAKIM KAYIT'!$B$6:$O$125,3,FALSE))</f>
      </c>
      <c r="D112" s="15">
        <f>IF(ISERROR(VLOOKUP($C112,'START LİSTE'!$B$6:$F$836,2,0)),"",VLOOKUP($C112,'START LİSTE'!$B$6:$F$836,2,0))</f>
      </c>
      <c r="E112" s="16">
        <f>IF(ISERROR(VLOOKUP($C112,'START LİSTE'!$B$6:$F$836,4,0)),"",VLOOKUP($C112,'START LİSTE'!$B$6:$F$836,4,0))</f>
      </c>
      <c r="F112" s="106">
        <f>IF(ISERROR(VLOOKUP($C112,'FERDİ SONUÇ'!$B$6:$H$962,6,0)),"",VLOOKUP($C112,'FERDİ SONUÇ'!$B$6:$H$962,6,0))</f>
      </c>
      <c r="G112" s="18" t="str">
        <f>IF(OR(E112="",F112="DQ",F112="DNF",F112="DNS",F112=""),"-",VLOOKUP(C112,'FERDİ SONUÇ'!$B$6:$H$962,7,0))</f>
        <v>-</v>
      </c>
      <c r="H112" s="143">
        <f>IF(A112="","",VLOOKUP(A112,'TAKIM KAYIT'!$B$6:$P$125,13,FALSE))</f>
      </c>
    </row>
    <row r="113" spans="1:8" ht="14.25" customHeight="1">
      <c r="A113" s="13"/>
      <c r="B113" s="14"/>
      <c r="C113" s="96">
        <f>IF(A112="","",INDEX('TAKIM KAYIT'!$D$6:$D$125,MATCH(C112,'TAKIM KAYIT'!$D$6:$D$125,0)+1))</f>
      </c>
      <c r="D113" s="15">
        <f>IF(ISERROR(VLOOKUP($C113,'START LİSTE'!$B$6:$F$836,2,0)),"",VLOOKUP($C113,'START LİSTE'!$B$6:$F$836,2,0))</f>
      </c>
      <c r="E113" s="16">
        <f>IF(ISERROR(VLOOKUP($C113,'START LİSTE'!$B$6:$F$836,4,0)),"",VLOOKUP($C113,'START LİSTE'!$B$6:$F$836,4,0))</f>
      </c>
      <c r="F113" s="106">
        <f>IF(ISERROR(VLOOKUP($C113,'FERDİ SONUÇ'!$B$6:$H$962,6,0)),"",VLOOKUP($C113,'FERDİ SONUÇ'!$B$6:$H$962,6,0))</f>
      </c>
      <c r="G113" s="18" t="str">
        <f>IF(OR(E113="",F113="DQ",F113="DNF",F113="DNS",F113=""),"-",VLOOKUP(C113,'FERDİ SONUÇ'!$B$6:$H$962,7,0))</f>
        <v>-</v>
      </c>
      <c r="H113" s="147"/>
    </row>
    <row r="114" spans="1:8" ht="14.25" customHeight="1">
      <c r="A114" s="6"/>
      <c r="B114" s="7"/>
      <c r="C114" s="95">
        <f>IF(A116="","",INDEX('TAKIM KAYIT'!$D$6:$D$125,MATCH(C116,'TAKIM KAYIT'!$D$6:$D$125,0)-2))</f>
      </c>
      <c r="D114" s="8">
        <f>IF(ISERROR(VLOOKUP($C114,'START LİSTE'!$B$6:$F$836,2,0)),"",VLOOKUP($C114,'START LİSTE'!$B$6:$F$836,2,0))</f>
      </c>
      <c r="E114" s="9">
        <f>IF(ISERROR(VLOOKUP($C114,'START LİSTE'!$B$6:$F$836,4,0)),"",VLOOKUP($C114,'START LİSTE'!$B$6:$F$836,4,0))</f>
      </c>
      <c r="F114" s="105">
        <f>IF(ISERROR(VLOOKUP($C114,'FERDİ SONUÇ'!$B$6:$H$962,6,0)),"",VLOOKUP($C114,'FERDİ SONUÇ'!$B$6:$H$962,6,0))</f>
      </c>
      <c r="G114" s="11" t="str">
        <f>IF(OR(E114="",F114="DQ",F114="DNF",F114="DNS",F114=""),"-",VLOOKUP(C114,'FERDİ SONUÇ'!$B$6:$H$962,7,0))</f>
        <v>-</v>
      </c>
      <c r="H114" s="146"/>
    </row>
    <row r="115" spans="1:8" ht="14.25" customHeight="1">
      <c r="A115" s="13"/>
      <c r="B115" s="14"/>
      <c r="C115" s="96">
        <f>IF(A116="","",INDEX('TAKIM KAYIT'!$D$6:$D$125,MATCH(C116,'TAKIM KAYIT'!$D$6:$D$125,0)-1))</f>
      </c>
      <c r="D115" s="15">
        <f>IF(ISERROR(VLOOKUP($C115,'START LİSTE'!$B$6:$F$836,2,0)),"",VLOOKUP($C115,'START LİSTE'!$B$6:$F$836,2,0))</f>
      </c>
      <c r="E115" s="16">
        <f>IF(ISERROR(VLOOKUP($C115,'START LİSTE'!$B$6:$F$836,4,0)),"",VLOOKUP($C115,'START LİSTE'!$B$6:$F$836,4,0))</f>
      </c>
      <c r="F115" s="106">
        <f>IF(ISERROR(VLOOKUP($C115,'FERDİ SONUÇ'!$B$6:$H$962,6,0)),"",VLOOKUP($C115,'FERDİ SONUÇ'!$B$6:$H$962,6,0))</f>
      </c>
      <c r="G115" s="18" t="str">
        <f>IF(OR(E115="",F115="DQ",F115="DNF",F115="DNS",F115=""),"-",VLOOKUP(C115,'FERDİ SONUÇ'!$B$6:$H$962,7,0))</f>
        <v>-</v>
      </c>
      <c r="H115" s="147"/>
    </row>
    <row r="116" spans="1:8" ht="14.25" customHeight="1">
      <c r="A116" s="58">
        <f>IF(ISERROR(SMALL('TAKIM KAYIT'!$B$6:$B$125,28)),"",SMALL('TAKIM KAYIT'!$B$6:$B$125,28))</f>
      </c>
      <c r="B116" s="14">
        <f>IF(A116="","",VLOOKUP(A116,'TAKIM KAYIT'!$B$6:$O$125,2,FALSE))</f>
      </c>
      <c r="C116" s="96">
        <f>IF(A116="","",VLOOKUP(A116,'TAKIM KAYIT'!$B$6:$O$125,3,FALSE))</f>
      </c>
      <c r="D116" s="15">
        <f>IF(ISERROR(VLOOKUP($C116,'START LİSTE'!$B$6:$F$836,2,0)),"",VLOOKUP($C116,'START LİSTE'!$B$6:$F$836,2,0))</f>
      </c>
      <c r="E116" s="16">
        <f>IF(ISERROR(VLOOKUP($C116,'START LİSTE'!$B$6:$F$836,4,0)),"",VLOOKUP($C116,'START LİSTE'!$B$6:$F$836,4,0))</f>
      </c>
      <c r="F116" s="106">
        <f>IF(ISERROR(VLOOKUP($C116,'FERDİ SONUÇ'!$B$6:$H$962,6,0)),"",VLOOKUP($C116,'FERDİ SONUÇ'!$B$6:$H$962,6,0))</f>
      </c>
      <c r="G116" s="18" t="str">
        <f>IF(OR(E116="",F116="DQ",F116="DNF",F116="DNS",F116=""),"-",VLOOKUP(C116,'FERDİ SONUÇ'!$B$6:$H$962,7,0))</f>
        <v>-</v>
      </c>
      <c r="H116" s="143">
        <f>IF(A116="","",VLOOKUP(A116,'TAKIM KAYIT'!$B$6:$P$125,13,FALSE))</f>
      </c>
    </row>
    <row r="117" spans="1:8" ht="14.25" customHeight="1">
      <c r="A117" s="13"/>
      <c r="B117" s="14"/>
      <c r="C117" s="96">
        <f>IF(A116="","",INDEX('TAKIM KAYIT'!$D$6:$D$125,MATCH(C116,'TAKIM KAYIT'!$D$6:$D$125,0)+1))</f>
      </c>
      <c r="D117" s="15">
        <f>IF(ISERROR(VLOOKUP($C117,'START LİSTE'!$B$6:$F$836,2,0)),"",VLOOKUP($C117,'START LİSTE'!$B$6:$F$836,2,0))</f>
      </c>
      <c r="E117" s="16">
        <f>IF(ISERROR(VLOOKUP($C117,'START LİSTE'!$B$6:$F$836,4,0)),"",VLOOKUP($C117,'START LİSTE'!$B$6:$F$836,4,0))</f>
      </c>
      <c r="F117" s="106">
        <f>IF(ISERROR(VLOOKUP($C117,'FERDİ SONUÇ'!$B$6:$H$962,6,0)),"",VLOOKUP($C117,'FERDİ SONUÇ'!$B$6:$H$962,6,0))</f>
      </c>
      <c r="G117" s="18" t="str">
        <f>IF(OR(E117="",F117="DQ",F117="DNF",F117="DNS",F117=""),"-",VLOOKUP(C117,'FERDİ SONUÇ'!$B$6:$H$962,7,0))</f>
        <v>-</v>
      </c>
      <c r="H117" s="147"/>
    </row>
    <row r="118" spans="1:8" ht="14.25" customHeight="1">
      <c r="A118" s="6"/>
      <c r="B118" s="7"/>
      <c r="C118" s="95">
        <f>IF(A120="","",INDEX('TAKIM KAYIT'!$D$6:$D$125,MATCH(C120,'TAKIM KAYIT'!$D$6:$D$125,0)-2))</f>
      </c>
      <c r="D118" s="8">
        <f>IF(ISERROR(VLOOKUP($C118,'START LİSTE'!$B$6:$F$836,2,0)),"",VLOOKUP($C118,'START LİSTE'!$B$6:$F$836,2,0))</f>
      </c>
      <c r="E118" s="9">
        <f>IF(ISERROR(VLOOKUP($C118,'START LİSTE'!$B$6:$F$836,4,0)),"",VLOOKUP($C118,'START LİSTE'!$B$6:$F$836,4,0))</f>
      </c>
      <c r="F118" s="105">
        <f>IF(ISERROR(VLOOKUP($C118,'FERDİ SONUÇ'!$B$6:$H$962,6,0)),"",VLOOKUP($C118,'FERDİ SONUÇ'!$B$6:$H$962,6,0))</f>
      </c>
      <c r="G118" s="11" t="str">
        <f>IF(OR(E118="",F118="DQ",F118="DNF",F118="DNS",F118=""),"-",VLOOKUP(C118,'FERDİ SONUÇ'!$B$6:$H$962,7,0))</f>
        <v>-</v>
      </c>
      <c r="H118" s="146"/>
    </row>
    <row r="119" spans="1:8" ht="14.25" customHeight="1">
      <c r="A119" s="13"/>
      <c r="B119" s="14"/>
      <c r="C119" s="96">
        <f>IF(A120="","",INDEX('TAKIM KAYIT'!$D$6:$D$125,MATCH(C120,'TAKIM KAYIT'!$D$6:$D$125,0)-1))</f>
      </c>
      <c r="D119" s="15">
        <f>IF(ISERROR(VLOOKUP($C119,'START LİSTE'!$B$6:$F$836,2,0)),"",VLOOKUP($C119,'START LİSTE'!$B$6:$F$836,2,0))</f>
      </c>
      <c r="E119" s="16">
        <f>IF(ISERROR(VLOOKUP($C119,'START LİSTE'!$B$6:$F$836,4,0)),"",VLOOKUP($C119,'START LİSTE'!$B$6:$F$836,4,0))</f>
      </c>
      <c r="F119" s="106">
        <f>IF(ISERROR(VLOOKUP($C119,'FERDİ SONUÇ'!$B$6:$H$962,6,0)),"",VLOOKUP($C119,'FERDİ SONUÇ'!$B$6:$H$962,6,0))</f>
      </c>
      <c r="G119" s="18" t="str">
        <f>IF(OR(E119="",F119="DQ",F119="DNF",F119="DNS",F119=""),"-",VLOOKUP(C119,'FERDİ SONUÇ'!$B$6:$H$962,7,0))</f>
        <v>-</v>
      </c>
      <c r="H119" s="147"/>
    </row>
    <row r="120" spans="1:8" ht="14.25" customHeight="1">
      <c r="A120" s="58">
        <f>IF(ISERROR(SMALL('TAKIM KAYIT'!$B$6:$B$125,29)),"",SMALL('TAKIM KAYIT'!$B$6:$B$125,29))</f>
      </c>
      <c r="B120" s="14">
        <f>IF(A120="","",VLOOKUP(A120,'TAKIM KAYIT'!$B$6:$O$125,2,FALSE))</f>
      </c>
      <c r="C120" s="96">
        <f>IF(A120="","",VLOOKUP(A120,'TAKIM KAYIT'!$B$6:$O$125,3,FALSE))</f>
      </c>
      <c r="D120" s="15">
        <f>IF(ISERROR(VLOOKUP($C120,'START LİSTE'!$B$6:$F$836,2,0)),"",VLOOKUP($C120,'START LİSTE'!$B$6:$F$836,2,0))</f>
      </c>
      <c r="E120" s="16">
        <f>IF(ISERROR(VLOOKUP($C120,'START LİSTE'!$B$6:$F$836,4,0)),"",VLOOKUP($C120,'START LİSTE'!$B$6:$F$836,4,0))</f>
      </c>
      <c r="F120" s="106">
        <f>IF(ISERROR(VLOOKUP($C120,'FERDİ SONUÇ'!$B$6:$H$962,6,0)),"",VLOOKUP($C120,'FERDİ SONUÇ'!$B$6:$H$962,6,0))</f>
      </c>
      <c r="G120" s="18" t="str">
        <f>IF(OR(E120="",F120="DQ",F120="DNF",F120="DNS",F120=""),"-",VLOOKUP(C120,'FERDİ SONUÇ'!$B$6:$H$962,7,0))</f>
        <v>-</v>
      </c>
      <c r="H120" s="143">
        <f>IF(A120="","",VLOOKUP(A120,'TAKIM KAYIT'!$B$6:$P$125,13,FALSE))</f>
      </c>
    </row>
    <row r="121" spans="1:8" ht="14.25" customHeight="1">
      <c r="A121" s="13"/>
      <c r="B121" s="14"/>
      <c r="C121" s="96">
        <f>IF(A120="","",INDEX('TAKIM KAYIT'!$D$6:$D$125,MATCH(C120,'TAKIM KAYIT'!$D$6:$D$125,0)+1))</f>
      </c>
      <c r="D121" s="15">
        <f>IF(ISERROR(VLOOKUP($C121,'START LİSTE'!$B$6:$F$836,2,0)),"",VLOOKUP($C121,'START LİSTE'!$B$6:$F$836,2,0))</f>
      </c>
      <c r="E121" s="16">
        <f>IF(ISERROR(VLOOKUP($C121,'START LİSTE'!$B$6:$F$836,4,0)),"",VLOOKUP($C121,'START LİSTE'!$B$6:$F$836,4,0))</f>
      </c>
      <c r="F121" s="106">
        <f>IF(ISERROR(VLOOKUP($C121,'FERDİ SONUÇ'!$B$6:$H$962,6,0)),"",VLOOKUP($C121,'FERDİ SONUÇ'!$B$6:$H$962,6,0))</f>
      </c>
      <c r="G121" s="18" t="str">
        <f>IF(OR(E121="",F121="DQ",F121="DNF",F121="DNS",F121=""),"-",VLOOKUP(C121,'FERDİ SONUÇ'!$B$6:$H$962,7,0))</f>
        <v>-</v>
      </c>
      <c r="H121" s="147"/>
    </row>
    <row r="122" spans="1:8" ht="14.25" customHeight="1">
      <c r="A122" s="6"/>
      <c r="B122" s="7"/>
      <c r="C122" s="95">
        <f>IF(A124="","",INDEX('TAKIM KAYIT'!$D$6:$D$125,MATCH(C124,'TAKIM KAYIT'!$D$6:$D$125,0)-2))</f>
      </c>
      <c r="D122" s="8">
        <f>IF(ISERROR(VLOOKUP($C122,'START LİSTE'!$B$6:$F$836,2,0)),"",VLOOKUP($C122,'START LİSTE'!$B$6:$F$836,2,0))</f>
      </c>
      <c r="E122" s="9">
        <f>IF(ISERROR(VLOOKUP($C122,'START LİSTE'!$B$6:$F$836,4,0)),"",VLOOKUP($C122,'START LİSTE'!$B$6:$F$836,4,0))</f>
      </c>
      <c r="F122" s="105">
        <f>IF(ISERROR(VLOOKUP($C122,'FERDİ SONUÇ'!$B$6:$H$962,6,0)),"",VLOOKUP($C122,'FERDİ SONUÇ'!$B$6:$H$962,6,0))</f>
      </c>
      <c r="G122" s="11" t="str">
        <f>IF(OR(E122="",F122="DQ",F122="DNF",F122="DNS",F122=""),"-",VLOOKUP(C122,'FERDİ SONUÇ'!$B$6:$H$962,7,0))</f>
        <v>-</v>
      </c>
      <c r="H122" s="146"/>
    </row>
    <row r="123" spans="1:8" ht="14.25" customHeight="1">
      <c r="A123" s="13"/>
      <c r="B123" s="14"/>
      <c r="C123" s="96">
        <f>IF(A124="","",INDEX('TAKIM KAYIT'!$D$6:$D$125,MATCH(C124,'TAKIM KAYIT'!$D$6:$D$125,0)-1))</f>
      </c>
      <c r="D123" s="15">
        <f>IF(ISERROR(VLOOKUP($C123,'START LİSTE'!$B$6:$F$836,2,0)),"",VLOOKUP($C123,'START LİSTE'!$B$6:$F$836,2,0))</f>
      </c>
      <c r="E123" s="16">
        <f>IF(ISERROR(VLOOKUP($C123,'START LİSTE'!$B$6:$F$836,4,0)),"",VLOOKUP($C123,'START LİSTE'!$B$6:$F$836,4,0))</f>
      </c>
      <c r="F123" s="106">
        <f>IF(ISERROR(VLOOKUP($C123,'FERDİ SONUÇ'!$B$6:$H$962,6,0)),"",VLOOKUP($C123,'FERDİ SONUÇ'!$B$6:$H$962,6,0))</f>
      </c>
      <c r="G123" s="18" t="str">
        <f>IF(OR(E123="",F123="DQ",F123="DNF",F123="DNS",F123=""),"-",VLOOKUP(C123,'FERDİ SONUÇ'!$B$6:$H$962,7,0))</f>
        <v>-</v>
      </c>
      <c r="H123" s="147"/>
    </row>
    <row r="124" spans="1:8" ht="14.25" customHeight="1">
      <c r="A124" s="58">
        <f>IF(ISERROR(SMALL('TAKIM KAYIT'!$B$6:$B$125,30)),"",SMALL('TAKIM KAYIT'!$B$6:$B$125,30))</f>
      </c>
      <c r="B124" s="14">
        <f>IF(A124="","",VLOOKUP(A124,'TAKIM KAYIT'!$B$6:$O$125,2,FALSE))</f>
      </c>
      <c r="C124" s="96">
        <f>IF(A124="","",VLOOKUP(A124,'TAKIM KAYIT'!$B$6:$O$125,3,FALSE))</f>
      </c>
      <c r="D124" s="15">
        <f>IF(ISERROR(VLOOKUP($C124,'START LİSTE'!$B$6:$F$836,2,0)),"",VLOOKUP($C124,'START LİSTE'!$B$6:$F$836,2,0))</f>
      </c>
      <c r="E124" s="16">
        <f>IF(ISERROR(VLOOKUP($C124,'START LİSTE'!$B$6:$F$836,4,0)),"",VLOOKUP($C124,'START LİSTE'!$B$6:$F$836,4,0))</f>
      </c>
      <c r="F124" s="106">
        <f>IF(ISERROR(VLOOKUP($C124,'FERDİ SONUÇ'!$B$6:$H$962,6,0)),"",VLOOKUP($C124,'FERDİ SONUÇ'!$B$6:$H$962,6,0))</f>
      </c>
      <c r="G124" s="18" t="str">
        <f>IF(OR(E124="",F124="DQ",F124="DNF",F124="DNS",F124=""),"-",VLOOKUP(C124,'FERDİ SONUÇ'!$B$6:$H$962,7,0))</f>
        <v>-</v>
      </c>
      <c r="H124" s="143">
        <f>IF(A124="","",VLOOKUP(A124,'TAKIM KAYIT'!$B$6:$P$125,13,FALSE))</f>
      </c>
    </row>
    <row r="125" spans="1:8" ht="14.25" customHeight="1">
      <c r="A125" s="13"/>
      <c r="B125" s="14"/>
      <c r="C125" s="96">
        <f>IF(A124="","",INDEX('TAKIM KAYIT'!$D$6:$D$125,MATCH(C124,'TAKIM KAYIT'!$D$6:$D$125,0)+1))</f>
      </c>
      <c r="D125" s="15">
        <f>IF(ISERROR(VLOOKUP($C125,'START LİSTE'!$B$6:$F$836,2,0)),"",VLOOKUP($C125,'START LİSTE'!$B$6:$F$836,2,0))</f>
      </c>
      <c r="E125" s="16">
        <f>IF(ISERROR(VLOOKUP($C125,'START LİSTE'!$B$6:$F$836,4,0)),"",VLOOKUP($C125,'START LİSTE'!$B$6:$F$836,4,0))</f>
      </c>
      <c r="F125" s="106">
        <f>IF(ISERROR(VLOOKUP($C125,'FERDİ SONUÇ'!$B$6:$H$962,6,0)),"",VLOOKUP($C125,'FERDİ SONUÇ'!$B$6:$H$962,6,0))</f>
      </c>
      <c r="G125" s="18" t="str">
        <f>IF(OR(E125="",F125="DQ",F125="DNF",F125="DNS",F125=""),"-",VLOOKUP(C125,'FERDİ SONUÇ'!$B$6:$H$962,7,0))</f>
        <v>-</v>
      </c>
      <c r="H125" s="147"/>
    </row>
  </sheetData>
  <sheetProtection password="CC79" sheet="1"/>
  <mergeCells count="6">
    <mergeCell ref="F4:H4"/>
    <mergeCell ref="A2:H2"/>
    <mergeCell ref="A1:H1"/>
    <mergeCell ref="A3:H3"/>
    <mergeCell ref="A4:B4"/>
    <mergeCell ref="C4:D4"/>
  </mergeCells>
  <conditionalFormatting sqref="B5">
    <cfRule type="duplicateValues" priority="9" dxfId="662" stopIfTrue="1">
      <formula>AND(COUNTIF($B$5:$B$5,B5)&gt;1,NOT(ISBLANK(B5)))</formula>
    </cfRule>
  </conditionalFormatting>
  <conditionalFormatting sqref="A6:A125">
    <cfRule type="cellIs" priority="6" dxfId="663" operator="greaterThan">
      <formula>1000</formula>
    </cfRule>
    <cfRule type="cellIs" priority="7" dxfId="662" operator="greaterThan">
      <formula>"&gt;1000"</formula>
    </cfRule>
  </conditionalFormatting>
  <conditionalFormatting sqref="H6:H125">
    <cfRule type="duplicateValues" priority="1" dxfId="662">
      <formula>AND(COUNTIF($H$6:$H$125,H6)&gt;1,NOT(ISBLANK(H6)))</formula>
    </cfRule>
  </conditionalFormatting>
  <printOptions horizontalCentered="1" verticalCentered="1"/>
  <pageMargins left="0.5905511811023623"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sheetPr>
    <tabColor rgb="FF7030A0"/>
  </sheetPr>
  <dimension ref="A1:K125"/>
  <sheetViews>
    <sheetView tabSelected="1" view="pageBreakPreview" zoomScale="90" zoomScaleSheetLayoutView="90" zoomScalePageLayoutView="0" workbookViewId="0" topLeftCell="A1">
      <selection activeCell="M5" sqref="M5"/>
    </sheetView>
  </sheetViews>
  <sheetFormatPr defaultColWidth="9.00390625" defaultRowHeight="12.75"/>
  <cols>
    <col min="2" max="2" width="26.375" style="0" customWidth="1"/>
    <col min="4" max="4" width="32.375" style="0" customWidth="1"/>
  </cols>
  <sheetData>
    <row r="1" spans="1:11" ht="39" customHeight="1">
      <c r="A1" s="290" t="str">
        <f>KAPAK!A2</f>
        <v>Aksaray Atletizm İl Temsilciliği</v>
      </c>
      <c r="B1" s="291"/>
      <c r="C1" s="291"/>
      <c r="D1" s="291"/>
      <c r="E1" s="291"/>
      <c r="F1" s="291"/>
      <c r="G1" s="291"/>
      <c r="H1" s="291"/>
      <c r="I1" s="291"/>
      <c r="J1" s="291"/>
      <c r="K1" s="292"/>
    </row>
    <row r="2" spans="1:11" ht="26.25" customHeight="1">
      <c r="A2" s="293" t="str">
        <f>KAPAK!B24</f>
        <v>Küçükler ve Yıldızlar Bölgesel Kros Ligi 3.Kademe Yarışmaları</v>
      </c>
      <c r="B2" s="294"/>
      <c r="C2" s="294"/>
      <c r="D2" s="294"/>
      <c r="E2" s="294"/>
      <c r="F2" s="294"/>
      <c r="G2" s="294"/>
      <c r="H2" s="294"/>
      <c r="I2" s="294"/>
      <c r="J2" s="294"/>
      <c r="K2" s="295"/>
    </row>
    <row r="3" spans="1:11" ht="14.25">
      <c r="A3" s="189"/>
      <c r="B3" s="190"/>
      <c r="C3" s="296"/>
      <c r="D3" s="296"/>
      <c r="E3" s="190"/>
      <c r="F3" s="191"/>
      <c r="G3" s="190"/>
      <c r="H3" s="190"/>
      <c r="I3" s="190"/>
      <c r="J3" s="190"/>
      <c r="K3" s="192"/>
    </row>
    <row r="4" spans="1:11" ht="12.75">
      <c r="A4" s="300" t="str">
        <f>KAPAK!B26</f>
        <v>Yıldız Erkekler</v>
      </c>
      <c r="B4" s="301"/>
      <c r="C4" s="297" t="str">
        <f>KAPAK!B25</f>
        <v>3 km.</v>
      </c>
      <c r="D4" s="297"/>
      <c r="E4" s="88"/>
      <c r="F4" s="298">
        <f>KAPAK!B28</f>
        <v>41959.458333333336</v>
      </c>
      <c r="G4" s="298"/>
      <c r="H4" s="298"/>
      <c r="I4" s="298"/>
      <c r="J4" s="298"/>
      <c r="K4" s="299"/>
    </row>
    <row r="5" spans="1:11" ht="44.25" customHeight="1">
      <c r="A5" s="193" t="s">
        <v>5</v>
      </c>
      <c r="B5" s="90" t="s">
        <v>17</v>
      </c>
      <c r="C5" s="91" t="s">
        <v>1</v>
      </c>
      <c r="D5" s="90" t="s">
        <v>3</v>
      </c>
      <c r="E5" s="90" t="s">
        <v>8</v>
      </c>
      <c r="F5" s="92" t="s">
        <v>7</v>
      </c>
      <c r="G5" s="93" t="s">
        <v>15</v>
      </c>
      <c r="H5" s="94" t="s">
        <v>30</v>
      </c>
      <c r="I5" s="94" t="s">
        <v>31</v>
      </c>
      <c r="J5" s="94" t="s">
        <v>32</v>
      </c>
      <c r="K5" s="194" t="s">
        <v>33</v>
      </c>
    </row>
    <row r="6" spans="1:11" ht="20.25" customHeight="1">
      <c r="A6" s="195"/>
      <c r="B6" s="119"/>
      <c r="C6" s="120">
        <f>IF(A8="","",INDEX('TAKIM KAYIT'!$D$6:$D$125,MATCH(C8,'TAKIM KAYIT'!$D$6:$D$125,0)-2))</f>
        <v>291</v>
      </c>
      <c r="D6" s="121" t="str">
        <f>IF(ISERROR(VLOOKUP($C6,'START LİSTE'!$B$6:$F$1025,2,0)),"",VLOOKUP($C6,'START LİSTE'!$B$6:$F$1025,2,0))</f>
        <v>EMRE ÖREN</v>
      </c>
      <c r="E6" s="122" t="str">
        <f>IF(ISERROR(VLOOKUP($C6,'START LİSTE'!$B$6:$F$1025,4,0)),"",VLOOKUP($C6,'START LİSTE'!$B$6:$F$1025,4,0))</f>
        <v>T</v>
      </c>
      <c r="F6" s="123">
        <f>IF(ISERROR(VLOOKUP($C6,'FERDİ SONUÇ'!$B$6:$H$1069,6,0)),"",VLOOKUP($C6,'FERDİ SONUÇ'!$B$6:$H$1069,6,0))</f>
        <v>937</v>
      </c>
      <c r="G6" s="124">
        <f>IF(OR(E6="",F6="DQ",F6="DNF",F6="DNS",F6=""),"-",VLOOKUP(C6,'FERDİ SONUÇ'!$B$6:$H$1069,7,0))</f>
        <v>2</v>
      </c>
      <c r="H6" s="150"/>
      <c r="I6" s="150"/>
      <c r="J6" s="150"/>
      <c r="K6" s="196"/>
    </row>
    <row r="7" spans="1:11" ht="20.25" customHeight="1">
      <c r="A7" s="197"/>
      <c r="B7" s="126"/>
      <c r="C7" s="127">
        <f>IF(A8="","",INDEX('TAKIM KAYIT'!$D$6:$D$125,MATCH(C8,'TAKIM KAYIT'!$D$6:$D$125,0)-1))</f>
        <v>292</v>
      </c>
      <c r="D7" s="128" t="str">
        <f>IF(ISERROR(VLOOKUP($C7,'START LİSTE'!$B$6:$F$1025,2,0)),"",VLOOKUP($C7,'START LİSTE'!$B$6:$F$1025,2,0))</f>
        <v>ATİLLA MURATOĞLU</v>
      </c>
      <c r="E7" s="129" t="str">
        <f>IF(ISERROR(VLOOKUP($C7,'START LİSTE'!$B$6:$F$1025,4,0)),"",VLOOKUP($C7,'START LİSTE'!$B$6:$F$1025,4,0))</f>
        <v>T</v>
      </c>
      <c r="F7" s="130">
        <f>IF(ISERROR(VLOOKUP($C7,'FERDİ SONUÇ'!$B$6:$H$1069,6,0)),"",VLOOKUP($C7,'FERDİ SONUÇ'!$B$6:$H$1069,6,0))</f>
        <v>952</v>
      </c>
      <c r="G7" s="131">
        <f>IF(OR(E7="",F7="DQ",F7="DNF",F7="DNS",F7=""),"-",VLOOKUP(C7,'FERDİ SONUÇ'!$B$6:$H$1069,7,0))</f>
        <v>4</v>
      </c>
      <c r="H7" s="151"/>
      <c r="I7" s="151"/>
      <c r="J7" s="151"/>
      <c r="K7" s="198"/>
    </row>
    <row r="8" spans="1:11" ht="20.25" customHeight="1">
      <c r="A8" s="197">
        <f>IF(ISERROR(SMALL('TAKIM KAYIT'!$A$6:$A$125,1)),"",SMALL('TAKIM KAYIT'!$A$6:$A$125,1))</f>
        <v>1</v>
      </c>
      <c r="B8" s="126" t="str">
        <f>IF(A8="","",VLOOKUP(A8,'TAKIM KAYIT'!$A$6:$O$1250,3,0))</f>
        <v>ADANA GSİM</v>
      </c>
      <c r="C8" s="127">
        <f>IF(A8="","",VLOOKUP(A8,'TAKIM KAYIT'!$B$6:$O$125,3,FALSE))</f>
        <v>293</v>
      </c>
      <c r="D8" s="128" t="str">
        <f>IF(ISERROR(VLOOKUP($C8,'START LİSTE'!$B$6:$F$1025,2,0)),"",VLOOKUP($C8,'START LİSTE'!$B$6:$F$1025,2,0))</f>
        <v>EMRE GÜZEL</v>
      </c>
      <c r="E8" s="129" t="str">
        <f>IF(ISERROR(VLOOKUP($C8,'START LİSTE'!$B$6:$F$1025,4,0)),"",VLOOKUP($C8,'START LİSTE'!$B$6:$F$1025,4,0))</f>
        <v>T</v>
      </c>
      <c r="F8" s="130">
        <f>IF(ISERROR(VLOOKUP($C8,'FERDİ SONUÇ'!$B$6:$H$1069,6,0)),"",VLOOKUP($C8,'FERDİ SONUÇ'!$B$6:$H$1069,6,0))</f>
        <v>1018</v>
      </c>
      <c r="G8" s="131">
        <f>IF(OR(E8="",F8="DQ",F8="DNF",F8="DNS",F8=""),"-",VLOOKUP(C8,'FERDİ SONUÇ'!$B$6:$H$1069,7,0))</f>
        <v>10</v>
      </c>
      <c r="H8" s="143">
        <f>IF(A8="","",VLOOKUP(A8,'TAKIM KAYIT'!$A$6:$T$1250,11,0))</f>
        <v>10</v>
      </c>
      <c r="I8" s="143">
        <f>IF(A8="","",VLOOKUP(A8,'TAKIM KAYIT'!$A$6:$T$1250,12,0))</f>
        <v>10.0005</v>
      </c>
      <c r="J8" s="110">
        <f>IF(A8="","",VLOOKUP(A8,'TAKIM KAYIT'!$A$6:$T$1250,13,0))</f>
        <v>7.0004</v>
      </c>
      <c r="K8" s="199">
        <f>IF(A8="","",VLOOKUP(A8,'TAKIM KAYIT'!$A$6:$T$1250,15,0))</f>
        <v>27.0009</v>
      </c>
    </row>
    <row r="9" spans="1:11" ht="20.25" customHeight="1">
      <c r="A9" s="197"/>
      <c r="B9" s="126"/>
      <c r="C9" s="127">
        <f>IF(A8="","",INDEX('TAKIM KAYIT'!$D$6:$D$125,MATCH(C8,'TAKIM KAYIT'!$D$6:$D$125,0)+1))</f>
        <v>294</v>
      </c>
      <c r="D9" s="128" t="str">
        <f>IF(ISERROR(VLOOKUP($C9,'START LİSTE'!$B$6:$F$1025,2,0)),"",VLOOKUP($C9,'START LİSTE'!$B$6:$F$1025,2,0))</f>
        <v>ŞAHİN BALKIŞ</v>
      </c>
      <c r="E9" s="129" t="str">
        <f>IF(ISERROR(VLOOKUP($C9,'START LİSTE'!$B$6:$F$1025,4,0)),"",VLOOKUP($C9,'START LİSTE'!$B$6:$F$1025,4,0))</f>
        <v>T</v>
      </c>
      <c r="F9" s="130">
        <f>IF(ISERROR(VLOOKUP($C9,'FERDİ SONUÇ'!$B$6:$H$1069,6,0)),"",VLOOKUP($C9,'FERDİ SONUÇ'!$B$6:$H$1069,6,0))</f>
        <v>928</v>
      </c>
      <c r="G9" s="131">
        <f>IF(OR(E9="",F9="DQ",F9="DNF",F9="DNS",F9=""),"-",VLOOKUP(C9,'FERDİ SONUÇ'!$B$6:$H$1069,7,0))</f>
        <v>1</v>
      </c>
      <c r="H9" s="151"/>
      <c r="I9" s="151"/>
      <c r="J9" s="151"/>
      <c r="K9" s="198"/>
    </row>
    <row r="10" spans="1:11" ht="20.25" customHeight="1">
      <c r="A10" s="195"/>
      <c r="B10" s="119"/>
      <c r="C10" s="120">
        <f>IF(A12="","",INDEX('TAKIM KAYIT'!$D$6:$D$125,MATCH(C12,'TAKIM KAYIT'!$D$6:$D$125,0)-2))</f>
        <v>275</v>
      </c>
      <c r="D10" s="121" t="str">
        <f>IF(ISERROR(VLOOKUP($C10,'START LİSTE'!$B$6:$F$1025,2,0)),"",VLOOKUP($C10,'START LİSTE'!$B$6:$F$1025,2,0))</f>
        <v>ANIL ÖZÇELİK</v>
      </c>
      <c r="E10" s="122" t="str">
        <f>IF(ISERROR(VLOOKUP($C10,'START LİSTE'!$B$6:$F$1025,4,0)),"",VLOOKUP($C10,'START LİSTE'!$B$6:$F$1025,4,0))</f>
        <v>T</v>
      </c>
      <c r="F10" s="123">
        <f>IF(ISERROR(VLOOKUP($C10,'FERDİ SONUÇ'!$B$6:$H$1069,6,0)),"",VLOOKUP($C10,'FERDİ SONUÇ'!$B$6:$H$1069,6,0))</f>
        <v>956</v>
      </c>
      <c r="G10" s="124">
        <f>IF(OR(E10="",F10="DQ",F10="DNF",F10="DNS",F10=""),"-",VLOOKUP(C10,'FERDİ SONUÇ'!$B$6:$H$1069,7,0))</f>
        <v>5</v>
      </c>
      <c r="H10" s="150"/>
      <c r="I10" s="150"/>
      <c r="J10" s="150"/>
      <c r="K10" s="196"/>
    </row>
    <row r="11" spans="1:11" ht="20.25" customHeight="1">
      <c r="A11" s="197"/>
      <c r="B11" s="126"/>
      <c r="C11" s="127">
        <f>IF(A12="","",INDEX('TAKIM KAYIT'!$D$6:$D$125,MATCH(C12,'TAKIM KAYIT'!$D$6:$D$125,0)-1))</f>
        <v>276</v>
      </c>
      <c r="D11" s="128" t="str">
        <f>IF(ISERROR(VLOOKUP($C11,'START LİSTE'!$B$6:$F$1025,2,0)),"",VLOOKUP($C11,'START LİSTE'!$B$6:$F$1025,2,0))</f>
        <v>MUHAMMED MUSTAFA HELVACI</v>
      </c>
      <c r="E11" s="129" t="str">
        <f>IF(ISERROR(VLOOKUP($C11,'START LİSTE'!$B$6:$F$1025,4,0)),"",VLOOKUP($C11,'START LİSTE'!$B$6:$F$1025,4,0))</f>
        <v>T</v>
      </c>
      <c r="F11" s="130">
        <f>IF(ISERROR(VLOOKUP($C11,'FERDİ SONUÇ'!$B$6:$H$1069,6,0)),"",VLOOKUP($C11,'FERDİ SONUÇ'!$B$6:$H$1069,6,0))</f>
        <v>937</v>
      </c>
      <c r="G11" s="131">
        <f>IF(OR(E11="",F11="DQ",F11="DNF",F11="DNS",F11=""),"-",VLOOKUP(C11,'FERDİ SONUÇ'!$B$6:$H$1069,7,0))</f>
        <v>3</v>
      </c>
      <c r="H11" s="151"/>
      <c r="I11" s="151"/>
      <c r="J11" s="151"/>
      <c r="K11" s="198"/>
    </row>
    <row r="12" spans="1:11" ht="20.25" customHeight="1">
      <c r="A12" s="200">
        <f>IF(ISERROR(SMALL('TAKIM KAYIT'!$A$6:$A$125,1)),"",SMALL('TAKIM KAYIT'!$A$6:$A$125,2))</f>
        <v>2</v>
      </c>
      <c r="B12" s="126" t="str">
        <f>IF(A12="","",VLOOKUP(A12,'TAKIM KAYIT'!$A$6:$O$1250,3,0))</f>
        <v>HATAY-B.ŞHR.BLD.GSK.</v>
      </c>
      <c r="C12" s="127">
        <f>IF(A12="","",VLOOKUP(A12,'TAKIM KAYIT'!$B$6:$O$125,3,FALSE))</f>
        <v>277</v>
      </c>
      <c r="D12" s="128" t="str">
        <f>IF(ISERROR(VLOOKUP($C12,'START LİSTE'!$B$6:$F$1025,2,0)),"",VLOOKUP($C12,'START LİSTE'!$B$6:$F$1025,2,0))</f>
        <v>AHMET ÖZÇELİK</v>
      </c>
      <c r="E12" s="129" t="str">
        <f>IF(ISERROR(VLOOKUP($C12,'START LİSTE'!$B$6:$F$1025,4,0)),"",VLOOKUP($C12,'START LİSTE'!$B$6:$F$1025,4,0))</f>
        <v>T</v>
      </c>
      <c r="F12" s="130">
        <f>IF(ISERROR(VLOOKUP($C12,'FERDİ SONUÇ'!$B$6:$H$1069,6,0)),"",VLOOKUP($C12,'FERDİ SONUÇ'!$B$6:$H$1069,6,0))</f>
        <v>1011</v>
      </c>
      <c r="G12" s="131">
        <f>IF(OR(E12="",F12="DQ",F12="DNF",F12="DNS",F12=""),"-",VLOOKUP(C12,'FERDİ SONUÇ'!$B$6:$H$1069,7,0))</f>
        <v>7</v>
      </c>
      <c r="H12" s="143">
        <f>IF(A12="","",VLOOKUP(A12,'TAKIM KAYIT'!$A$6:$T$1250,11,0))</f>
        <v>12</v>
      </c>
      <c r="I12" s="143">
        <f>IF(A12="","",VLOOKUP(A12,'TAKIM KAYIT'!$A$6:$T$1250,12,0))</f>
        <v>15.001</v>
      </c>
      <c r="J12" s="110">
        <f>IF(A12="","",VLOOKUP(A12,'TAKIM KAYIT'!$A$6:$T$1250,13,0))</f>
        <v>15.0007</v>
      </c>
      <c r="K12" s="199">
        <f>IF(A12="","",VLOOKUP(A12,'TAKIM KAYIT'!$A$6:$T$1250,15,0))</f>
        <v>42.0017</v>
      </c>
    </row>
    <row r="13" spans="1:11" ht="20.25" customHeight="1">
      <c r="A13" s="197"/>
      <c r="B13" s="126"/>
      <c r="C13" s="127">
        <f>IF(A12="","",INDEX('TAKIM KAYIT'!$D$6:$D$125,MATCH(C12,'TAKIM KAYIT'!$D$6:$D$125,0)+1))</f>
        <v>278</v>
      </c>
      <c r="D13" s="128" t="str">
        <f>IF(ISERROR(VLOOKUP($C13,'START LİSTE'!$B$6:$F$1025,2,0)),"",VLOOKUP($C13,'START LİSTE'!$B$6:$F$1025,2,0))</f>
        <v>GÜRSEL VELİECEOĞLU</v>
      </c>
      <c r="E13" s="129" t="str">
        <f>IF(ISERROR(VLOOKUP($C13,'START LİSTE'!$B$6:$F$1025,4,0)),"",VLOOKUP($C13,'START LİSTE'!$B$6:$F$1025,4,0))</f>
        <v>T</v>
      </c>
      <c r="F13" s="130">
        <f>IF(ISERROR(VLOOKUP($C13,'FERDİ SONUÇ'!$B$6:$H$1069,6,0)),"",VLOOKUP($C13,'FERDİ SONUÇ'!$B$6:$H$1069,6,0))</f>
        <v>1014</v>
      </c>
      <c r="G13" s="131">
        <f>IF(OR(E13="",F13="DQ",F13="DNF",F13="DNS",F13=""),"-",VLOOKUP(C13,'FERDİ SONUÇ'!$B$6:$H$1069,7,0))</f>
        <v>8</v>
      </c>
      <c r="H13" s="151"/>
      <c r="I13" s="151"/>
      <c r="J13" s="151"/>
      <c r="K13" s="198"/>
    </row>
    <row r="14" spans="1:11" ht="20.25" customHeight="1">
      <c r="A14" s="195"/>
      <c r="B14" s="119"/>
      <c r="C14" s="120">
        <v>287</v>
      </c>
      <c r="D14" s="121" t="str">
        <f>IF(ISERROR(VLOOKUP($C14,'START LİSTE'!$B$6:$F$1025,2,0)),"",VLOOKUP($C14,'START LİSTE'!$B$6:$F$1025,2,0))</f>
        <v>MEHMET TOSUN</v>
      </c>
      <c r="E14" s="122" t="str">
        <f>IF(ISERROR(VLOOKUP($C14,'START LİSTE'!$B$6:$F$1025,4,0)),"",VLOOKUP($C14,'START LİSTE'!$B$6:$F$1025,4,0))</f>
        <v>T</v>
      </c>
      <c r="F14" s="123">
        <f>IF(ISERROR(VLOOKUP($C14,'FERDİ SONUÇ'!$B$6:$H$1069,6,0)),"",VLOOKUP($C14,'FERDİ SONUÇ'!$B$6:$H$1069,6,0))</f>
        <v>1305</v>
      </c>
      <c r="G14" s="124">
        <f>IF(OR(E14="",F14="DQ",F14="DNF",F14="DNS",F14=""),"-",VLOOKUP(C14,'FERDİ SONUÇ'!$B$6:$H$1069,7,0))</f>
        <v>16</v>
      </c>
      <c r="H14" s="150"/>
      <c r="I14" s="150"/>
      <c r="J14" s="150"/>
      <c r="K14" s="196"/>
    </row>
    <row r="15" spans="1:11" ht="20.25" customHeight="1">
      <c r="A15" s="197"/>
      <c r="B15" s="126"/>
      <c r="C15" s="127">
        <v>288</v>
      </c>
      <c r="D15" s="128" t="str">
        <f>IF(ISERROR(VLOOKUP($C15,'START LİSTE'!$B$6:$F$1025,2,0)),"",VLOOKUP($C15,'START LİSTE'!$B$6:$F$1025,2,0))</f>
        <v>MEHMET ŞENOL</v>
      </c>
      <c r="E15" s="129" t="str">
        <f>IF(ISERROR(VLOOKUP($C15,'START LİSTE'!$B$6:$F$1025,4,0)),"",VLOOKUP($C15,'START LİSTE'!$B$6:$F$1025,4,0))</f>
        <v>T</v>
      </c>
      <c r="F15" s="130">
        <f>IF(ISERROR(VLOOKUP($C15,'FERDİ SONUÇ'!$B$6:$H$1069,6,0)),"",VLOOKUP($C15,'FERDİ SONUÇ'!$B$6:$H$1069,6,0))</f>
        <v>1014</v>
      </c>
      <c r="G15" s="131">
        <f>IF(OR(E15="",F15="DQ",F15="DNF",F15="DNS",F15=""),"-",VLOOKUP(C15,'FERDİ SONUÇ'!$B$6:$H$1069,7,0))</f>
        <v>9</v>
      </c>
      <c r="H15" s="151"/>
      <c r="I15" s="151"/>
      <c r="J15" s="151"/>
      <c r="K15" s="198"/>
    </row>
    <row r="16" spans="1:11" ht="20.25" customHeight="1">
      <c r="A16" s="197">
        <f>IF(ISERROR(SMALL('TAKIM KAYIT'!$A$6:$A$125,1)),"",SMALL('TAKIM KAYIT'!$A$6:$A$125,3))</f>
        <v>3</v>
      </c>
      <c r="B16" s="126" t="str">
        <f>IF(A16="","",VLOOKUP(A16,'TAKIM KAYIT'!$A$6:$O$1250,3,0))</f>
        <v>OSMANİYE - GENÇLİK SPOR KÜLÜBÜ</v>
      </c>
      <c r="C16" s="127">
        <v>289</v>
      </c>
      <c r="D16" s="128" t="str">
        <f>IF(ISERROR(VLOOKUP($C16,'START LİSTE'!$B$6:$F$1025,2,0)),"",VLOOKUP($C16,'START LİSTE'!$B$6:$F$1025,2,0))</f>
        <v>AKİF KARA</v>
      </c>
      <c r="E16" s="129" t="str">
        <f>IF(ISERROR(VLOOKUP($C16,'START LİSTE'!$B$6:$F$1025,4,0)),"",VLOOKUP($C16,'START LİSTE'!$B$6:$F$1025,4,0))</f>
        <v>T</v>
      </c>
      <c r="F16" s="130">
        <f>IF(ISERROR(VLOOKUP($C16,'FERDİ SONUÇ'!$B$6:$H$1069,6,0)),"",VLOOKUP($C16,'FERDİ SONUÇ'!$B$6:$H$1069,6,0))</f>
        <v>1041</v>
      </c>
      <c r="G16" s="131">
        <f>IF(OR(E16="",F16="DQ",F16="DNF",F16="DNS",F16=""),"-",VLOOKUP(C16,'FERDİ SONUÇ'!$B$6:$H$1069,7,0))</f>
        <v>13</v>
      </c>
      <c r="H16" s="143">
        <f>IF(A16="","",VLOOKUP(A16,'TAKIM KAYIT'!$A$6:$T$1250,11,0))</f>
        <v>26</v>
      </c>
      <c r="I16" s="143">
        <f>IF(A16="","",VLOOKUP(A16,'TAKIM KAYIT'!$A$6:$T$1250,12,0))</f>
        <v>21.0008</v>
      </c>
      <c r="J16" s="110">
        <f>IF(A16="","",VLOOKUP(A16,'TAKIM KAYIT'!$A$6:$T$1250,13,0))</f>
        <v>33.0013</v>
      </c>
      <c r="K16" s="199">
        <f>IF(A16="","",VLOOKUP(A16,'TAKIM KAYIT'!$A$6:$T$1250,15,0))</f>
        <v>80.0021</v>
      </c>
    </row>
    <row r="17" spans="1:11" ht="20.25" customHeight="1">
      <c r="A17" s="197"/>
      <c r="B17" s="126"/>
      <c r="C17" s="127">
        <f>IF(A16="","",INDEX('TAKIM KAYIT'!$D$6:$D$125,MATCH(C16,'TAKIM KAYIT'!$D$6:$D$125,0)+1))</f>
        <v>290</v>
      </c>
      <c r="D17" s="128" t="str">
        <f>IF(ISERROR(VLOOKUP($C17,'START LİSTE'!$B$6:$F$1025,2,0)),"",VLOOKUP($C17,'START LİSTE'!$B$6:$F$1025,2,0))</f>
        <v>İSA SAVAŞ</v>
      </c>
      <c r="E17" s="129" t="str">
        <f>IF(ISERROR(VLOOKUP($C17,'START LİSTE'!$B$6:$F$1025,4,0)),"",VLOOKUP($C17,'START LİSTE'!$B$6:$F$1025,4,0))</f>
        <v>T</v>
      </c>
      <c r="F17" s="130">
        <f>IF(ISERROR(VLOOKUP($C17,'FERDİ SONUÇ'!$B$6:$H$1069,6,0)),"",VLOOKUP($C17,'FERDİ SONUÇ'!$B$6:$H$1069,6,0))</f>
        <v>1022</v>
      </c>
      <c r="G17" s="131">
        <f>IF(OR(E17="",F17="DQ",F17="DNF",F17="DNS",F17=""),"-",VLOOKUP(C17,'FERDİ SONUÇ'!$B$6:$H$1069,7,0))</f>
        <v>11</v>
      </c>
      <c r="H17" s="151"/>
      <c r="I17" s="151"/>
      <c r="J17" s="151"/>
      <c r="K17" s="198"/>
    </row>
    <row r="18" spans="1:11" ht="20.25" customHeight="1">
      <c r="A18" s="195"/>
      <c r="B18" s="119"/>
      <c r="C18" s="120">
        <v>283</v>
      </c>
      <c r="D18" s="121" t="str">
        <f>IF(ISERROR(VLOOKUP($C18,'START LİSTE'!$B$6:$F$1025,2,0)),"",VLOOKUP($C18,'START LİSTE'!$B$6:$F$1025,2,0))</f>
        <v>YUNUS EMRE YILMAZ</v>
      </c>
      <c r="E18" s="122" t="str">
        <f>IF(ISERROR(VLOOKUP($C18,'START LİSTE'!$B$6:$F$1025,4,0)),"",VLOOKUP($C18,'START LİSTE'!$B$6:$F$1025,4,0))</f>
        <v>T</v>
      </c>
      <c r="F18" s="123">
        <f>IF(ISERROR(VLOOKUP($C18,'FERDİ SONUÇ'!$B$6:$H$1069,6,0)),"",VLOOKUP($C18,'FERDİ SONUÇ'!$B$6:$H$1069,6,0))</f>
        <v>1006</v>
      </c>
      <c r="G18" s="124">
        <f>IF(OR(E18="",F18="DQ",F18="DNF",F18="DNS",F18=""),"-",VLOOKUP(C18,'FERDİ SONUÇ'!$B$6:$H$1069,7,0))</f>
        <v>6</v>
      </c>
      <c r="H18" s="150"/>
      <c r="I18" s="150"/>
      <c r="J18" s="150"/>
      <c r="K18" s="196"/>
    </row>
    <row r="19" spans="1:11" ht="20.25" customHeight="1">
      <c r="A19" s="197"/>
      <c r="B19" s="126"/>
      <c r="C19" s="127">
        <v>284</v>
      </c>
      <c r="D19" s="128" t="str">
        <f>IF(ISERROR(VLOOKUP($C19,'START LİSTE'!$B$6:$F$1025,2,0)),"",VLOOKUP($C19,'START LİSTE'!$B$6:$F$1025,2,0))</f>
        <v>MÜCAHİT KARABACAK</v>
      </c>
      <c r="E19" s="129" t="str">
        <f>IF(ISERROR(VLOOKUP($C19,'START LİSTE'!$B$6:$F$1025,4,0)),"",VLOOKUP($C19,'START LİSTE'!$B$6:$F$1025,4,0))</f>
        <v>T</v>
      </c>
      <c r="F19" s="130">
        <f>IF(ISERROR(VLOOKUP($C19,'FERDİ SONUÇ'!$B$6:$H$1069,6,0)),"",VLOOKUP($C19,'FERDİ SONUÇ'!$B$6:$H$1069,6,0))</f>
        <v>1030</v>
      </c>
      <c r="G19" s="131">
        <f>IF(OR(E19="",F19="DQ",F19="DNF",F19="DNS",F19=""),"-",VLOOKUP(C19,'FERDİ SONUÇ'!$B$6:$H$1069,7,0))</f>
        <v>12</v>
      </c>
      <c r="H19" s="151"/>
      <c r="I19" s="151"/>
      <c r="J19" s="151"/>
      <c r="K19" s="198"/>
    </row>
    <row r="20" spans="1:11" ht="20.25" customHeight="1">
      <c r="A20" s="197">
        <f>IF(ISERROR(SMALL('TAKIM KAYIT'!$A$6:$A$125,1)),"",SMALL('TAKIM KAYIT'!$A$6:$A$125,4))</f>
        <v>4</v>
      </c>
      <c r="B20" s="126" t="str">
        <f>IF(A20="","",VLOOKUP(A20,'TAKIM KAYIT'!$A$6:$O$1250,3,0))</f>
        <v>NİĞDE-NİĞDE GÜCÜ SK.</v>
      </c>
      <c r="C20" s="127">
        <v>285</v>
      </c>
      <c r="D20" s="128" t="str">
        <f>IF(ISERROR(VLOOKUP($C20,'START LİSTE'!$B$6:$F$1025,2,0)),"",VLOOKUP($C20,'START LİSTE'!$B$6:$F$1025,2,0))</f>
        <v>AHMET IŞIK</v>
      </c>
      <c r="E20" s="129" t="str">
        <f>IF(ISERROR(VLOOKUP($C20,'START LİSTE'!$B$6:$F$1025,4,0)),"",VLOOKUP($C20,'START LİSTE'!$B$6:$F$1025,4,0))</f>
        <v>T</v>
      </c>
      <c r="F20" s="130">
        <f>IF(ISERROR(VLOOKUP($C20,'FERDİ SONUÇ'!$B$6:$H$1069,6,0)),"",VLOOKUP($C20,'FERDİ SONUÇ'!$B$6:$H$1069,6,0))</f>
        <v>1053</v>
      </c>
      <c r="G20" s="131">
        <f>IF(OR(E20="",F20="DQ",F20="DNF",F20="DNS",F20=""),"-",VLOOKUP(C20,'FERDİ SONUÇ'!$B$6:$H$1069,7,0))</f>
        <v>14</v>
      </c>
      <c r="H20" s="143">
        <f>IF(A20="","",VLOOKUP(A20,'TAKIM KAYIT'!$A$6:$T$1250,11,0))</f>
        <v>36</v>
      </c>
      <c r="I20" s="143">
        <f>IF(A20="","",VLOOKUP(A20,'TAKIM KAYIT'!$A$6:$T$1250,12,0))</f>
        <v>35.0014</v>
      </c>
      <c r="J20" s="110">
        <f>IF(A20="","",VLOOKUP(A20,'TAKIM KAYIT'!$A$6:$T$1250,13,0))</f>
        <v>32.0014</v>
      </c>
      <c r="K20" s="199">
        <f>IF(A20="","",VLOOKUP(A20,'TAKIM KAYIT'!$A$6:$T$1250,15,0))</f>
        <v>103.00279999999998</v>
      </c>
    </row>
    <row r="21" spans="1:11" ht="20.25" customHeight="1" thickBot="1">
      <c r="A21" s="201"/>
      <c r="B21" s="202"/>
      <c r="C21" s="203">
        <f>IF(A20="","",INDEX('TAKIM KAYIT'!$D$6:$D$125,MATCH(C20,'TAKIM KAYIT'!$D$6:$D$125,0)+1))</f>
        <v>286</v>
      </c>
      <c r="D21" s="204" t="str">
        <f>IF(ISERROR(VLOOKUP($C21,'START LİSTE'!$B$6:$F$1025,2,0)),"",VLOOKUP($C21,'START LİSTE'!$B$6:$F$1025,2,0))</f>
        <v>MEHMET CAVDAR</v>
      </c>
      <c r="E21" s="205" t="str">
        <f>IF(ISERROR(VLOOKUP($C21,'START LİSTE'!$B$6:$F$1025,4,0)),"",VLOOKUP($C21,'START LİSTE'!$B$6:$F$1025,4,0))</f>
        <v>T</v>
      </c>
      <c r="F21" s="206">
        <f>IF(ISERROR(VLOOKUP($C21,'FERDİ SONUÇ'!$B$6:$H$1069,6,0)),"",VLOOKUP($C21,'FERDİ SONUÇ'!$B$6:$H$1069,6,0))</f>
        <v>1118</v>
      </c>
      <c r="G21" s="207">
        <f>IF(OR(E21="",F21="DQ",F21="DNF",F21="DNS",F21=""),"-",VLOOKUP(C21,'FERDİ SONUÇ'!$B$6:$H$1069,7,0))</f>
        <v>15</v>
      </c>
      <c r="H21" s="208"/>
      <c r="I21" s="208"/>
      <c r="J21" s="208"/>
      <c r="K21" s="209"/>
    </row>
    <row r="22" spans="1:11" ht="14.25">
      <c r="A22" s="125"/>
      <c r="B22" s="126"/>
      <c r="C22" s="184" t="e">
        <f>IF(A24="","",INDEX('TAKIM KAYIT'!$D$6:$D$125,MATCH(C24,'TAKIM KAYIT'!$D$6:$D$125,0)-2))</f>
        <v>#NUM!</v>
      </c>
      <c r="D22" s="185">
        <f>IF(ISERROR(VLOOKUP($C22,'START LİSTE'!$B$6:$F$1025,2,0)),"",VLOOKUP($C22,'START LİSTE'!$B$6:$F$1025,2,0))</f>
      </c>
      <c r="E22" s="186">
        <f>IF(ISERROR(VLOOKUP($C22,'START LİSTE'!$B$6:$F$1025,4,0)),"",VLOOKUP($C22,'START LİSTE'!$B$6:$F$1025,4,0))</f>
      </c>
      <c r="F22" s="187">
        <f>IF(ISERROR(VLOOKUP($C22,'FERDİ SONUÇ'!$B$6:$H$1069,6,0)),"",VLOOKUP($C22,'FERDİ SONUÇ'!$B$6:$H$1069,6,0))</f>
      </c>
      <c r="G22" s="188" t="str">
        <f>IF(OR(E22="",F22="DQ",F22="DNF",F22="DNS",F22=""),"-",VLOOKUP(C22,'FERDİ SONUÇ'!$B$6:$H$1069,7,0))</f>
        <v>-</v>
      </c>
      <c r="H22" s="151"/>
      <c r="I22" s="151"/>
      <c r="J22" s="151"/>
      <c r="K22" s="147"/>
    </row>
    <row r="23" spans="1:11" ht="14.25">
      <c r="A23" s="125"/>
      <c r="B23" s="126"/>
      <c r="C23" s="127" t="e">
        <f>IF(A24="","",INDEX('TAKIM KAYIT'!$D$6:$D$125,MATCH(C24,'TAKIM KAYIT'!$D$6:$D$125,0)-1))</f>
        <v>#NUM!</v>
      </c>
      <c r="D23" s="128">
        <f>IF(ISERROR(VLOOKUP($C23,'START LİSTE'!$B$6:$F$1025,2,0)),"",VLOOKUP($C23,'START LİSTE'!$B$6:$F$1025,2,0))</f>
      </c>
      <c r="E23" s="129">
        <f>IF(ISERROR(VLOOKUP($C23,'START LİSTE'!$B$6:$F$1025,4,0)),"",VLOOKUP($C23,'START LİSTE'!$B$6:$F$1025,4,0))</f>
      </c>
      <c r="F23" s="130">
        <f>IF(ISERROR(VLOOKUP($C23,'FERDİ SONUÇ'!$B$6:$H$1069,6,0)),"",VLOOKUP($C23,'FERDİ SONUÇ'!$B$6:$H$1069,6,0))</f>
      </c>
      <c r="G23" s="131" t="str">
        <f>IF(OR(E23="",F23="DQ",F23="DNF",F23="DNS",F23=""),"-",VLOOKUP(C23,'FERDİ SONUÇ'!$B$6:$H$1069,7,0))</f>
        <v>-</v>
      </c>
      <c r="H23" s="151"/>
      <c r="I23" s="151"/>
      <c r="J23" s="151"/>
      <c r="K23" s="147"/>
    </row>
    <row r="24" spans="1:11" ht="15.75">
      <c r="A24" s="125" t="e">
        <f>IF(ISERROR(SMALL('TAKIM KAYIT'!$A$6:$A$125,1)),"",SMALL('TAKIM KAYIT'!$A$6:$A$125,5))</f>
        <v>#NUM!</v>
      </c>
      <c r="B24" s="126" t="e">
        <f>IF(A24="","",VLOOKUP(A24,'TAKIM KAYIT'!$A$6:$O$1250,3,0))</f>
        <v>#NUM!</v>
      </c>
      <c r="C24" s="127" t="e">
        <f>IF(A24="","",VLOOKUP(A24,'TAKIM KAYIT'!$B$6:$O$125,3,FALSE))</f>
        <v>#NUM!</v>
      </c>
      <c r="D24" s="128">
        <f>IF(ISERROR(VLOOKUP($C24,'START LİSTE'!$B$6:$F$1025,2,0)),"",VLOOKUP($C24,'START LİSTE'!$B$6:$F$1025,2,0))</f>
      </c>
      <c r="E24" s="129">
        <f>IF(ISERROR(VLOOKUP($C24,'START LİSTE'!$B$6:$F$1025,4,0)),"",VLOOKUP($C24,'START LİSTE'!$B$6:$F$1025,4,0))</f>
      </c>
      <c r="F24" s="130">
        <f>IF(ISERROR(VLOOKUP($C24,'FERDİ SONUÇ'!$B$6:$H$1069,6,0)),"",VLOOKUP($C24,'FERDİ SONUÇ'!$B$6:$H$1069,6,0))</f>
      </c>
      <c r="G24" s="131" t="str">
        <f>IF(OR(E24="",F24="DQ",F24="DNF",F24="DNS",F24=""),"-",VLOOKUP(C24,'FERDİ SONUÇ'!$B$6:$H$1069,7,0))</f>
        <v>-</v>
      </c>
      <c r="H24" s="143" t="e">
        <f>IF(A24="","",VLOOKUP(A24,'TAKIM KAYIT'!$A$6:$T$1250,11,0))</f>
        <v>#NUM!</v>
      </c>
      <c r="I24" s="143" t="e">
        <f>IF(A24="","",VLOOKUP(A24,'TAKIM KAYIT'!$A$6:$T$1250,12,0))</f>
        <v>#NUM!</v>
      </c>
      <c r="J24" s="110" t="e">
        <f>IF(A24="","",VLOOKUP(A24,'TAKIM KAYIT'!$A$6:$T$1250,13,0))</f>
        <v>#NUM!</v>
      </c>
      <c r="K24" s="143" t="e">
        <f>IF(A24="","",VLOOKUP(A24,'TAKIM KAYIT'!$A$6:$T$1250,15,0))</f>
        <v>#NUM!</v>
      </c>
    </row>
    <row r="25" spans="1:11" ht="14.25">
      <c r="A25" s="125"/>
      <c r="B25" s="126"/>
      <c r="C25" s="127" t="e">
        <f>IF(A24="","",INDEX('TAKIM KAYIT'!$D$6:$D$125,MATCH(C24,'TAKIM KAYIT'!$D$6:$D$125,0)+1))</f>
        <v>#NUM!</v>
      </c>
      <c r="D25" s="128">
        <f>IF(ISERROR(VLOOKUP($C25,'START LİSTE'!$B$6:$F$1025,2,0)),"",VLOOKUP($C25,'START LİSTE'!$B$6:$F$1025,2,0))</f>
      </c>
      <c r="E25" s="129">
        <f>IF(ISERROR(VLOOKUP($C25,'START LİSTE'!$B$6:$F$1025,4,0)),"",VLOOKUP($C25,'START LİSTE'!$B$6:$F$1025,4,0))</f>
      </c>
      <c r="F25" s="130">
        <f>IF(ISERROR(VLOOKUP($C25,'FERDİ SONUÇ'!$B$6:$H$1069,6,0)),"",VLOOKUP($C25,'FERDİ SONUÇ'!$B$6:$H$1069,6,0))</f>
      </c>
      <c r="G25" s="131" t="str">
        <f>IF(OR(E25="",F25="DQ",F25="DNF",F25="DNS",F25=""),"-",VLOOKUP(C25,'FERDİ SONUÇ'!$B$6:$H$1069,7,0))</f>
        <v>-</v>
      </c>
      <c r="H25" s="151"/>
      <c r="I25" s="151"/>
      <c r="J25" s="151"/>
      <c r="K25" s="147"/>
    </row>
    <row r="26" spans="1:11" ht="14.25">
      <c r="A26" s="118"/>
      <c r="B26" s="119"/>
      <c r="C26" s="120" t="e">
        <f>IF(A28="","",INDEX('TAKIM KAYIT'!$D$6:$D$125,MATCH(C28,'TAKIM KAYIT'!$D$6:$D$125,0)-2))</f>
        <v>#NUM!</v>
      </c>
      <c r="D26" s="121">
        <f>IF(ISERROR(VLOOKUP($C26,'START LİSTE'!$B$6:$F$1025,2,0)),"",VLOOKUP($C26,'START LİSTE'!$B$6:$F$1025,2,0))</f>
      </c>
      <c r="E26" s="122">
        <f>IF(ISERROR(VLOOKUP($C26,'START LİSTE'!$B$6:$F$1025,4,0)),"",VLOOKUP($C26,'START LİSTE'!$B$6:$F$1025,4,0))</f>
      </c>
      <c r="F26" s="123">
        <f>IF(ISERROR(VLOOKUP($C26,'FERDİ SONUÇ'!$B$6:$H$1069,6,0)),"",VLOOKUP($C26,'FERDİ SONUÇ'!$B$6:$H$1069,6,0))</f>
      </c>
      <c r="G26" s="124" t="str">
        <f>IF(OR(E26="",F26="DQ",F26="DNF",F26="DNS",F26=""),"-",VLOOKUP(C26,'FERDİ SONUÇ'!$B$6:$H$1069,7,0))</f>
        <v>-</v>
      </c>
      <c r="H26" s="150"/>
      <c r="I26" s="150"/>
      <c r="J26" s="150"/>
      <c r="K26" s="146"/>
    </row>
    <row r="27" spans="1:11" ht="14.25">
      <c r="A27" s="125"/>
      <c r="B27" s="126"/>
      <c r="C27" s="127" t="e">
        <f>IF(A28="","",INDEX('TAKIM KAYIT'!$D$6:$D$125,MATCH(C28,'TAKIM KAYIT'!$D$6:$D$125,0)-1))</f>
        <v>#NUM!</v>
      </c>
      <c r="D27" s="128">
        <f>IF(ISERROR(VLOOKUP($C27,'START LİSTE'!$B$6:$F$1025,2,0)),"",VLOOKUP($C27,'START LİSTE'!$B$6:$F$1025,2,0))</f>
      </c>
      <c r="E27" s="129">
        <f>IF(ISERROR(VLOOKUP($C27,'START LİSTE'!$B$6:$F$1025,4,0)),"",VLOOKUP($C27,'START LİSTE'!$B$6:$F$1025,4,0))</f>
      </c>
      <c r="F27" s="130">
        <f>IF(ISERROR(VLOOKUP($C27,'FERDİ SONUÇ'!$B$6:$H$1069,6,0)),"",VLOOKUP($C27,'FERDİ SONUÇ'!$B$6:$H$1069,6,0))</f>
      </c>
      <c r="G27" s="131" t="str">
        <f>IF(OR(E27="",F27="DQ",F27="DNF",F27="DNS",F27=""),"-",VLOOKUP(C27,'FERDİ SONUÇ'!$B$6:$H$1069,7,0))</f>
        <v>-</v>
      </c>
      <c r="H27" s="151"/>
      <c r="I27" s="151"/>
      <c r="J27" s="151"/>
      <c r="K27" s="147"/>
    </row>
    <row r="28" spans="1:11" ht="15.75">
      <c r="A28" s="125" t="e">
        <f>IF(ISERROR(SMALL('TAKIM KAYIT'!$A$6:$A$125,1)),"",SMALL('TAKIM KAYIT'!$A$6:$A$125,6))</f>
        <v>#NUM!</v>
      </c>
      <c r="B28" s="126" t="e">
        <f>IF(A28="","",VLOOKUP(A28,'TAKIM KAYIT'!$A$6:$O$1250,3,0))</f>
        <v>#NUM!</v>
      </c>
      <c r="C28" s="127" t="e">
        <f>IF(A28="","",VLOOKUP(A28,'TAKIM KAYIT'!$B$6:$O$125,3,FALSE))</f>
        <v>#NUM!</v>
      </c>
      <c r="D28" s="128">
        <f>IF(ISERROR(VLOOKUP($C28,'START LİSTE'!$B$6:$F$1025,2,0)),"",VLOOKUP($C28,'START LİSTE'!$B$6:$F$1025,2,0))</f>
      </c>
      <c r="E28" s="129">
        <f>IF(ISERROR(VLOOKUP($C28,'START LİSTE'!$B$6:$F$1025,4,0)),"",VLOOKUP($C28,'START LİSTE'!$B$6:$F$1025,4,0))</f>
      </c>
      <c r="F28" s="130">
        <f>IF(ISERROR(VLOOKUP($C28,'FERDİ SONUÇ'!$B$6:$H$1069,6,0)),"",VLOOKUP($C28,'FERDİ SONUÇ'!$B$6:$H$1069,6,0))</f>
      </c>
      <c r="G28" s="131" t="str">
        <f>IF(OR(E28="",F28="DQ",F28="DNF",F28="DNS",F28=""),"-",VLOOKUP(C28,'FERDİ SONUÇ'!$B$6:$H$1069,7,0))</f>
        <v>-</v>
      </c>
      <c r="H28" s="143" t="e">
        <f>IF(A28="","",VLOOKUP(A28,'TAKIM KAYIT'!$A$6:$T$1250,11,0))</f>
        <v>#NUM!</v>
      </c>
      <c r="I28" s="143" t="e">
        <f>IF(A28="","",VLOOKUP(A28,'TAKIM KAYIT'!$A$6:$T$1250,12,0))</f>
        <v>#NUM!</v>
      </c>
      <c r="J28" s="110" t="e">
        <f>IF(A28="","",VLOOKUP(A28,'TAKIM KAYIT'!$A$6:$T$1250,13,0))</f>
        <v>#NUM!</v>
      </c>
      <c r="K28" s="143" t="e">
        <f>IF(A28="","",VLOOKUP(A28,'TAKIM KAYIT'!$A$6:$T$1250,15,0))</f>
        <v>#NUM!</v>
      </c>
    </row>
    <row r="29" spans="1:11" ht="14.25">
      <c r="A29" s="125"/>
      <c r="B29" s="126"/>
      <c r="C29" s="127" t="e">
        <f>IF(A28="","",INDEX('TAKIM KAYIT'!$D$6:$D$125,MATCH(C28,'TAKIM KAYIT'!$D$6:$D$125,0)+1))</f>
        <v>#NUM!</v>
      </c>
      <c r="D29" s="128">
        <f>IF(ISERROR(VLOOKUP($C29,'START LİSTE'!$B$6:$F$1025,2,0)),"",VLOOKUP($C29,'START LİSTE'!$B$6:$F$1025,2,0))</f>
      </c>
      <c r="E29" s="129">
        <f>IF(ISERROR(VLOOKUP($C29,'START LİSTE'!$B$6:$F$1025,4,0)),"",VLOOKUP($C29,'START LİSTE'!$B$6:$F$1025,4,0))</f>
      </c>
      <c r="F29" s="130">
        <f>IF(ISERROR(VLOOKUP($C29,'FERDİ SONUÇ'!$B$6:$H$1069,6,0)),"",VLOOKUP($C29,'FERDİ SONUÇ'!$B$6:$H$1069,6,0))</f>
      </c>
      <c r="G29" s="131" t="str">
        <f>IF(OR(E29="",F29="DQ",F29="DNF",F29="DNS",F29=""),"-",VLOOKUP(C29,'FERDİ SONUÇ'!$B$6:$H$1069,7,0))</f>
        <v>-</v>
      </c>
      <c r="H29" s="151"/>
      <c r="I29" s="151"/>
      <c r="J29" s="151"/>
      <c r="K29" s="147"/>
    </row>
    <row r="30" spans="1:11" ht="14.25">
      <c r="A30" s="118"/>
      <c r="B30" s="119"/>
      <c r="C30" s="120" t="e">
        <f>IF(A32="","",INDEX('TAKIM KAYIT'!$D$6:$D$125,MATCH(C32,'TAKIM KAYIT'!$D$6:$D$125,0)-2))</f>
        <v>#NUM!</v>
      </c>
      <c r="D30" s="121">
        <f>IF(ISERROR(VLOOKUP($C30,'START LİSTE'!$B$6:$F$1025,2,0)),"",VLOOKUP($C30,'START LİSTE'!$B$6:$F$1025,2,0))</f>
      </c>
      <c r="E30" s="122">
        <f>IF(ISERROR(VLOOKUP($C30,'START LİSTE'!$B$6:$F$1025,4,0)),"",VLOOKUP($C30,'START LİSTE'!$B$6:$F$1025,4,0))</f>
      </c>
      <c r="F30" s="123">
        <f>IF(ISERROR(VLOOKUP($C30,'FERDİ SONUÇ'!$B$6:$H$1069,6,0)),"",VLOOKUP($C30,'FERDİ SONUÇ'!$B$6:$H$1069,6,0))</f>
      </c>
      <c r="G30" s="124" t="str">
        <f>IF(OR(E30="",F30="DQ",F30="DNF",F30="DNS",F30=""),"-",VLOOKUP(C30,'FERDİ SONUÇ'!$B$6:$H$1069,7,0))</f>
        <v>-</v>
      </c>
      <c r="H30" s="150"/>
      <c r="I30" s="150"/>
      <c r="J30" s="150"/>
      <c r="K30" s="146"/>
    </row>
    <row r="31" spans="1:11" ht="14.25">
      <c r="A31" s="125"/>
      <c r="B31" s="126"/>
      <c r="C31" s="127" t="e">
        <f>IF(A32="","",INDEX('TAKIM KAYIT'!$D$6:$D$125,MATCH(C32,'TAKIM KAYIT'!$D$6:$D$125,0)-1))</f>
        <v>#NUM!</v>
      </c>
      <c r="D31" s="128">
        <f>IF(ISERROR(VLOOKUP($C31,'START LİSTE'!$B$6:$F$1025,2,0)),"",VLOOKUP($C31,'START LİSTE'!$B$6:$F$1025,2,0))</f>
      </c>
      <c r="E31" s="129">
        <f>IF(ISERROR(VLOOKUP($C31,'START LİSTE'!$B$6:$F$1025,4,0)),"",VLOOKUP($C31,'START LİSTE'!$B$6:$F$1025,4,0))</f>
      </c>
      <c r="F31" s="130">
        <f>IF(ISERROR(VLOOKUP($C31,'FERDİ SONUÇ'!$B$6:$H$1069,6,0)),"",VLOOKUP($C31,'FERDİ SONUÇ'!$B$6:$H$1069,6,0))</f>
      </c>
      <c r="G31" s="131" t="str">
        <f>IF(OR(E31="",F31="DQ",F31="DNF",F31="DNS",F31=""),"-",VLOOKUP(C31,'FERDİ SONUÇ'!$B$6:$H$1069,7,0))</f>
        <v>-</v>
      </c>
      <c r="H31" s="151"/>
      <c r="I31" s="151"/>
      <c r="J31" s="151"/>
      <c r="K31" s="147"/>
    </row>
    <row r="32" spans="1:11" ht="15.75">
      <c r="A32" s="125" t="e">
        <f>IF(ISERROR(SMALL('TAKIM KAYIT'!$A$6:$A$125,1)),"",SMALL('TAKIM KAYIT'!$A$6:$A$125,7))</f>
        <v>#NUM!</v>
      </c>
      <c r="B32" s="126" t="e">
        <f>IF(A32="","",VLOOKUP(A32,'TAKIM KAYIT'!$A$6:$O$1250,3,0))</f>
        <v>#NUM!</v>
      </c>
      <c r="C32" s="127" t="e">
        <f>IF(A32="","",VLOOKUP(A32,'TAKIM KAYIT'!$B$6:$O$125,3,FALSE))</f>
        <v>#NUM!</v>
      </c>
      <c r="D32" s="128">
        <f>IF(ISERROR(VLOOKUP($C32,'START LİSTE'!$B$6:$F$1025,2,0)),"",VLOOKUP($C32,'START LİSTE'!$B$6:$F$1025,2,0))</f>
      </c>
      <c r="E32" s="129">
        <f>IF(ISERROR(VLOOKUP($C32,'START LİSTE'!$B$6:$F$1025,4,0)),"",VLOOKUP($C32,'START LİSTE'!$B$6:$F$1025,4,0))</f>
      </c>
      <c r="F32" s="130">
        <f>IF(ISERROR(VLOOKUP($C32,'FERDİ SONUÇ'!$B$6:$H$1069,6,0)),"",VLOOKUP($C32,'FERDİ SONUÇ'!$B$6:$H$1069,6,0))</f>
      </c>
      <c r="G32" s="131" t="str">
        <f>IF(OR(E32="",F32="DQ",F32="DNF",F32="DNS",F32=""),"-",VLOOKUP(C32,'FERDİ SONUÇ'!$B$6:$H$1069,7,0))</f>
        <v>-</v>
      </c>
      <c r="H32" s="143" t="e">
        <f>IF(A32="","",VLOOKUP(A32,'TAKIM KAYIT'!$A$6:$T$1250,11,0))</f>
        <v>#NUM!</v>
      </c>
      <c r="I32" s="143" t="e">
        <f>IF(A32="","",VLOOKUP(A32,'TAKIM KAYIT'!$A$6:$T$1250,12,0))</f>
        <v>#NUM!</v>
      </c>
      <c r="J32" s="110" t="e">
        <f>IF(A32="","",VLOOKUP(A32,'TAKIM KAYIT'!$A$6:$T$1250,13,0))</f>
        <v>#NUM!</v>
      </c>
      <c r="K32" s="143" t="e">
        <f>IF(A32="","",VLOOKUP(A32,'TAKIM KAYIT'!$A$6:$T$1250,15,0))</f>
        <v>#NUM!</v>
      </c>
    </row>
    <row r="33" spans="1:11" ht="14.25">
      <c r="A33" s="125"/>
      <c r="B33" s="126"/>
      <c r="C33" s="127" t="e">
        <f>IF(A32="","",INDEX('TAKIM KAYIT'!$D$6:$D$125,MATCH(C32,'TAKIM KAYIT'!$D$6:$D$125,0)+1))</f>
        <v>#NUM!</v>
      </c>
      <c r="D33" s="128">
        <f>IF(ISERROR(VLOOKUP($C33,'START LİSTE'!$B$6:$F$1025,2,0)),"",VLOOKUP($C33,'START LİSTE'!$B$6:$F$1025,2,0))</f>
      </c>
      <c r="E33" s="129">
        <f>IF(ISERROR(VLOOKUP($C33,'START LİSTE'!$B$6:$F$1025,4,0)),"",VLOOKUP($C33,'START LİSTE'!$B$6:$F$1025,4,0))</f>
      </c>
      <c r="F33" s="130">
        <f>IF(ISERROR(VLOOKUP($C33,'FERDİ SONUÇ'!$B$6:$H$1069,6,0)),"",VLOOKUP($C33,'FERDİ SONUÇ'!$B$6:$H$1069,6,0))</f>
      </c>
      <c r="G33" s="131" t="str">
        <f>IF(OR(E33="",F33="DQ",F33="DNF",F33="DNS",F33=""),"-",VLOOKUP(C33,'FERDİ SONUÇ'!$B$6:$H$1069,7,0))</f>
        <v>-</v>
      </c>
      <c r="H33" s="151"/>
      <c r="I33" s="151"/>
      <c r="J33" s="151"/>
      <c r="K33" s="147"/>
    </row>
    <row r="34" spans="1:11" ht="14.25">
      <c r="A34" s="118"/>
      <c r="B34" s="119"/>
      <c r="C34" s="120" t="e">
        <f>IF(A36="","",INDEX('TAKIM KAYIT'!$D$6:$D$125,MATCH(C36,'TAKIM KAYIT'!$D$6:$D$125,0)-2))</f>
        <v>#NUM!</v>
      </c>
      <c r="D34" s="121">
        <f>IF(ISERROR(VLOOKUP($C34,'START LİSTE'!$B$6:$F$1025,2,0)),"",VLOOKUP($C34,'START LİSTE'!$B$6:$F$1025,2,0))</f>
      </c>
      <c r="E34" s="122">
        <f>IF(ISERROR(VLOOKUP($C34,'START LİSTE'!$B$6:$F$1025,4,0)),"",VLOOKUP($C34,'START LİSTE'!$B$6:$F$1025,4,0))</f>
      </c>
      <c r="F34" s="123">
        <f>IF(ISERROR(VLOOKUP($C34,'FERDİ SONUÇ'!$B$6:$H$1069,6,0)),"",VLOOKUP($C34,'FERDİ SONUÇ'!$B$6:$H$1069,6,0))</f>
      </c>
      <c r="G34" s="124" t="str">
        <f>IF(OR(E34="",F34="DQ",F34="DNF",F34="DNS",F34=""),"-",VLOOKUP(C34,'FERDİ SONUÇ'!$B$6:$H$1069,7,0))</f>
        <v>-</v>
      </c>
      <c r="H34" s="150"/>
      <c r="I34" s="150"/>
      <c r="J34" s="150"/>
      <c r="K34" s="146"/>
    </row>
    <row r="35" spans="1:11" ht="14.25">
      <c r="A35" s="125"/>
      <c r="B35" s="126"/>
      <c r="C35" s="127" t="e">
        <f>IF(A36="","",INDEX('TAKIM KAYIT'!$D$6:$D$125,MATCH(C36,'TAKIM KAYIT'!$D$6:$D$125,0)-1))</f>
        <v>#NUM!</v>
      </c>
      <c r="D35" s="128">
        <f>IF(ISERROR(VLOOKUP($C35,'START LİSTE'!$B$6:$F$1025,2,0)),"",VLOOKUP($C35,'START LİSTE'!$B$6:$F$1025,2,0))</f>
      </c>
      <c r="E35" s="129">
        <f>IF(ISERROR(VLOOKUP($C35,'START LİSTE'!$B$6:$F$1025,4,0)),"",VLOOKUP($C35,'START LİSTE'!$B$6:$F$1025,4,0))</f>
      </c>
      <c r="F35" s="130">
        <f>IF(ISERROR(VLOOKUP($C35,'FERDİ SONUÇ'!$B$6:$H$1069,6,0)),"",VLOOKUP($C35,'FERDİ SONUÇ'!$B$6:$H$1069,6,0))</f>
      </c>
      <c r="G35" s="131" t="str">
        <f>IF(OR(E35="",F35="DQ",F35="DNF",F35="DNS",F35=""),"-",VLOOKUP(C35,'FERDİ SONUÇ'!$B$6:$H$1069,7,0))</f>
        <v>-</v>
      </c>
      <c r="H35" s="151"/>
      <c r="I35" s="151"/>
      <c r="J35" s="151"/>
      <c r="K35" s="147"/>
    </row>
    <row r="36" spans="1:11" ht="15.75">
      <c r="A36" s="125" t="e">
        <f>IF(ISERROR(SMALL('TAKIM KAYIT'!$A$6:$A$125,1)),"",SMALL('TAKIM KAYIT'!$A$6:$A$125,8))</f>
        <v>#NUM!</v>
      </c>
      <c r="B36" s="126" t="e">
        <f>IF(A36="","",VLOOKUP(A36,'TAKIM KAYIT'!$A$6:$O$1250,3,0))</f>
        <v>#NUM!</v>
      </c>
      <c r="C36" s="127" t="e">
        <f>IF(A36="","",VLOOKUP(A36,'TAKIM KAYIT'!$B$6:$O$125,3,FALSE))</f>
        <v>#NUM!</v>
      </c>
      <c r="D36" s="128">
        <f>IF(ISERROR(VLOOKUP($C36,'START LİSTE'!$B$6:$F$1025,2,0)),"",VLOOKUP($C36,'START LİSTE'!$B$6:$F$1025,2,0))</f>
      </c>
      <c r="E36" s="129">
        <f>IF(ISERROR(VLOOKUP($C36,'START LİSTE'!$B$6:$F$1025,4,0)),"",VLOOKUP($C36,'START LİSTE'!$B$6:$F$1025,4,0))</f>
      </c>
      <c r="F36" s="130">
        <f>IF(ISERROR(VLOOKUP($C36,'FERDİ SONUÇ'!$B$6:$H$1069,6,0)),"",VLOOKUP($C36,'FERDİ SONUÇ'!$B$6:$H$1069,6,0))</f>
      </c>
      <c r="G36" s="131" t="str">
        <f>IF(OR(E36="",F36="DQ",F36="DNF",F36="DNS",F36=""),"-",VLOOKUP(C36,'FERDİ SONUÇ'!$B$6:$H$1069,7,0))</f>
        <v>-</v>
      </c>
      <c r="H36" s="143" t="e">
        <f>IF(A36="","",VLOOKUP(A36,'TAKIM KAYIT'!$A$6:$T$1250,11,0))</f>
        <v>#NUM!</v>
      </c>
      <c r="I36" s="143" t="e">
        <f>IF(A36="","",VLOOKUP(A36,'TAKIM KAYIT'!$A$6:$T$1250,12,0))</f>
        <v>#NUM!</v>
      </c>
      <c r="J36" s="110" t="e">
        <f>IF(A36="","",VLOOKUP(A36,'TAKIM KAYIT'!$A$6:$T$1250,13,0))</f>
        <v>#NUM!</v>
      </c>
      <c r="K36" s="143" t="e">
        <f>IF(A36="","",VLOOKUP(A36,'TAKIM KAYIT'!$A$6:$T$1250,15,0))</f>
        <v>#NUM!</v>
      </c>
    </row>
    <row r="37" spans="1:11" ht="14.25">
      <c r="A37" s="125"/>
      <c r="B37" s="126"/>
      <c r="C37" s="127" t="e">
        <f>IF(A36="","",INDEX('TAKIM KAYIT'!$D$6:$D$125,MATCH(C36,'TAKIM KAYIT'!$D$6:$D$125,0)+1))</f>
        <v>#NUM!</v>
      </c>
      <c r="D37" s="128">
        <f>IF(ISERROR(VLOOKUP($C37,'START LİSTE'!$B$6:$F$1025,2,0)),"",VLOOKUP($C37,'START LİSTE'!$B$6:$F$1025,2,0))</f>
      </c>
      <c r="E37" s="129">
        <f>IF(ISERROR(VLOOKUP($C37,'START LİSTE'!$B$6:$F$1025,4,0)),"",VLOOKUP($C37,'START LİSTE'!$B$6:$F$1025,4,0))</f>
      </c>
      <c r="F37" s="130">
        <f>IF(ISERROR(VLOOKUP($C37,'FERDİ SONUÇ'!$B$6:$H$1069,6,0)),"",VLOOKUP($C37,'FERDİ SONUÇ'!$B$6:$H$1069,6,0))</f>
      </c>
      <c r="G37" s="131" t="str">
        <f>IF(OR(E37="",F37="DQ",F37="DNF",F37="DNS",F37=""),"-",VLOOKUP(C37,'FERDİ SONUÇ'!$B$6:$H$1069,7,0))</f>
        <v>-</v>
      </c>
      <c r="H37" s="151"/>
      <c r="I37" s="151"/>
      <c r="J37" s="151"/>
      <c r="K37" s="147"/>
    </row>
    <row r="38" spans="1:11" ht="14.25">
      <c r="A38" s="118"/>
      <c r="B38" s="119"/>
      <c r="C38" s="120" t="e">
        <f>IF(A40="","",INDEX('TAKIM KAYIT'!$D$6:$D$125,MATCH(C40,'TAKIM KAYIT'!$D$6:$D$125,0)-2))</f>
        <v>#NUM!</v>
      </c>
      <c r="D38" s="121">
        <f>IF(ISERROR(VLOOKUP($C38,'START LİSTE'!$B$6:$F$1025,2,0)),"",VLOOKUP($C38,'START LİSTE'!$B$6:$F$1025,2,0))</f>
      </c>
      <c r="E38" s="122">
        <f>IF(ISERROR(VLOOKUP($C38,'START LİSTE'!$B$6:$F$1025,4,0)),"",VLOOKUP($C38,'START LİSTE'!$B$6:$F$1025,4,0))</f>
      </c>
      <c r="F38" s="123">
        <f>IF(ISERROR(VLOOKUP($C38,'FERDİ SONUÇ'!$B$6:$H$1069,6,0)),"",VLOOKUP($C38,'FERDİ SONUÇ'!$B$6:$H$1069,6,0))</f>
      </c>
      <c r="G38" s="124" t="str">
        <f>IF(OR(E38="",F38="DQ",F38="DNF",F38="DNS",F38=""),"-",VLOOKUP(C38,'FERDİ SONUÇ'!$B$6:$H$1069,7,0))</f>
        <v>-</v>
      </c>
      <c r="H38" s="150"/>
      <c r="I38" s="150"/>
      <c r="J38" s="150"/>
      <c r="K38" s="146"/>
    </row>
    <row r="39" spans="1:11" ht="14.25">
      <c r="A39" s="125"/>
      <c r="B39" s="126"/>
      <c r="C39" s="127" t="e">
        <f>IF(A40="","",INDEX('TAKIM KAYIT'!$D$6:$D$125,MATCH(C40,'TAKIM KAYIT'!$D$6:$D$125,0)-1))</f>
        <v>#NUM!</v>
      </c>
      <c r="D39" s="128">
        <f>IF(ISERROR(VLOOKUP($C39,'START LİSTE'!$B$6:$F$1025,2,0)),"",VLOOKUP($C39,'START LİSTE'!$B$6:$F$1025,2,0))</f>
      </c>
      <c r="E39" s="129">
        <f>IF(ISERROR(VLOOKUP($C39,'START LİSTE'!$B$6:$F$1025,4,0)),"",VLOOKUP($C39,'START LİSTE'!$B$6:$F$1025,4,0))</f>
      </c>
      <c r="F39" s="130">
        <f>IF(ISERROR(VLOOKUP($C39,'FERDİ SONUÇ'!$B$6:$H$1069,6,0)),"",VLOOKUP($C39,'FERDİ SONUÇ'!$B$6:$H$1069,6,0))</f>
      </c>
      <c r="G39" s="131" t="str">
        <f>IF(OR(E39="",F39="DQ",F39="DNF",F39="DNS",F39=""),"-",VLOOKUP(C39,'FERDİ SONUÇ'!$B$6:$H$1069,7,0))</f>
        <v>-</v>
      </c>
      <c r="H39" s="151"/>
      <c r="I39" s="151"/>
      <c r="J39" s="151"/>
      <c r="K39" s="147"/>
    </row>
    <row r="40" spans="1:11" ht="15.75">
      <c r="A40" s="125" t="e">
        <f>IF(ISERROR(SMALL('TAKIM KAYIT'!$A$6:$A$125,1)),"",SMALL('TAKIM KAYIT'!$A$6:$A$125,9))</f>
        <v>#NUM!</v>
      </c>
      <c r="B40" s="126" t="e">
        <f>IF(A40="","",VLOOKUP(A40,'TAKIM KAYIT'!$A$6:$O$1250,3,0))</f>
        <v>#NUM!</v>
      </c>
      <c r="C40" s="127" t="e">
        <f>IF(A40="","",VLOOKUP(A40,'TAKIM KAYIT'!$B$6:$O$125,3,FALSE))</f>
        <v>#NUM!</v>
      </c>
      <c r="D40" s="128">
        <f>IF(ISERROR(VLOOKUP($C40,'START LİSTE'!$B$6:$F$1025,2,0)),"",VLOOKUP($C40,'START LİSTE'!$B$6:$F$1025,2,0))</f>
      </c>
      <c r="E40" s="129">
        <f>IF(ISERROR(VLOOKUP($C40,'START LİSTE'!$B$6:$F$1025,4,0)),"",VLOOKUP($C40,'START LİSTE'!$B$6:$F$1025,4,0))</f>
      </c>
      <c r="F40" s="130">
        <f>IF(ISERROR(VLOOKUP($C40,'FERDİ SONUÇ'!$B$6:$H$1069,6,0)),"",VLOOKUP($C40,'FERDİ SONUÇ'!$B$6:$H$1069,6,0))</f>
      </c>
      <c r="G40" s="131" t="str">
        <f>IF(OR(E40="",F40="DQ",F40="DNF",F40="DNS",F40=""),"-",VLOOKUP(C40,'FERDİ SONUÇ'!$B$6:$H$1069,7,0))</f>
        <v>-</v>
      </c>
      <c r="H40" s="143" t="e">
        <f>IF(A40="","",VLOOKUP(A40,'TAKIM KAYIT'!$A$6:$T$1250,11,0))</f>
        <v>#NUM!</v>
      </c>
      <c r="I40" s="143" t="e">
        <f>IF(A40="","",VLOOKUP(A40,'TAKIM KAYIT'!$A$6:$T$1250,12,0))</f>
        <v>#NUM!</v>
      </c>
      <c r="J40" s="110" t="e">
        <f>IF(A40="","",VLOOKUP(A40,'TAKIM KAYIT'!$A$6:$T$1250,13,0))</f>
        <v>#NUM!</v>
      </c>
      <c r="K40" s="143" t="e">
        <f>IF(A40="","",VLOOKUP(A40,'TAKIM KAYIT'!$A$6:$T$1250,15,0))</f>
        <v>#NUM!</v>
      </c>
    </row>
    <row r="41" spans="1:11" ht="14.25">
      <c r="A41" s="125"/>
      <c r="B41" s="126"/>
      <c r="C41" s="127" t="e">
        <f>IF(A40="","",INDEX('TAKIM KAYIT'!$D$6:$D$125,MATCH(C40,'TAKIM KAYIT'!$D$6:$D$125,0)+1))</f>
        <v>#NUM!</v>
      </c>
      <c r="D41" s="128">
        <f>IF(ISERROR(VLOOKUP($C41,'START LİSTE'!$B$6:$F$1025,2,0)),"",VLOOKUP($C41,'START LİSTE'!$B$6:$F$1025,2,0))</f>
      </c>
      <c r="E41" s="129">
        <f>IF(ISERROR(VLOOKUP($C41,'START LİSTE'!$B$6:$F$1025,4,0)),"",VLOOKUP($C41,'START LİSTE'!$B$6:$F$1025,4,0))</f>
      </c>
      <c r="F41" s="130">
        <f>IF(ISERROR(VLOOKUP($C41,'FERDİ SONUÇ'!$B$6:$H$1069,6,0)),"",VLOOKUP($C41,'FERDİ SONUÇ'!$B$6:$H$1069,6,0))</f>
      </c>
      <c r="G41" s="131" t="str">
        <f>IF(OR(E41="",F41="DQ",F41="DNF",F41="DNS",F41=""),"-",VLOOKUP(C41,'FERDİ SONUÇ'!$B$6:$H$1069,7,0))</f>
        <v>-</v>
      </c>
      <c r="H41" s="151"/>
      <c r="I41" s="151"/>
      <c r="J41" s="151"/>
      <c r="K41" s="147"/>
    </row>
    <row r="42" spans="1:11" ht="14.25">
      <c r="A42" s="118"/>
      <c r="B42" s="119"/>
      <c r="C42" s="120" t="e">
        <f>IF(A44="","",INDEX('TAKIM KAYIT'!$D$6:$D$125,MATCH(C44,'TAKIM KAYIT'!$D$6:$D$125,0)-2))</f>
        <v>#NUM!</v>
      </c>
      <c r="D42" s="121">
        <f>IF(ISERROR(VLOOKUP($C42,'START LİSTE'!$B$6:$F$1025,2,0)),"",VLOOKUP($C42,'START LİSTE'!$B$6:$F$1025,2,0))</f>
      </c>
      <c r="E42" s="122">
        <f>IF(ISERROR(VLOOKUP($C42,'START LİSTE'!$B$6:$F$1025,4,0)),"",VLOOKUP($C42,'START LİSTE'!$B$6:$F$1025,4,0))</f>
      </c>
      <c r="F42" s="123">
        <f>IF(ISERROR(VLOOKUP($C42,'FERDİ SONUÇ'!$B$6:$H$1069,6,0)),"",VLOOKUP($C42,'FERDİ SONUÇ'!$B$6:$H$1069,6,0))</f>
      </c>
      <c r="G42" s="124" t="str">
        <f>IF(OR(E42="",F42="DQ",F42="DNF",F42="DNS",F42=""),"-",VLOOKUP(C42,'FERDİ SONUÇ'!$B$6:$H$1069,7,0))</f>
        <v>-</v>
      </c>
      <c r="H42" s="150"/>
      <c r="I42" s="150"/>
      <c r="J42" s="150"/>
      <c r="K42" s="146"/>
    </row>
    <row r="43" spans="1:11" ht="14.25">
      <c r="A43" s="125"/>
      <c r="B43" s="126"/>
      <c r="C43" s="127" t="e">
        <f>IF(A44="","",INDEX('TAKIM KAYIT'!$D$6:$D$125,MATCH(C44,'TAKIM KAYIT'!$D$6:$D$125,0)-1))</f>
        <v>#NUM!</v>
      </c>
      <c r="D43" s="128">
        <f>IF(ISERROR(VLOOKUP($C43,'START LİSTE'!$B$6:$F$1025,2,0)),"",VLOOKUP($C43,'START LİSTE'!$B$6:$F$1025,2,0))</f>
      </c>
      <c r="E43" s="129">
        <f>IF(ISERROR(VLOOKUP($C43,'START LİSTE'!$B$6:$F$1025,4,0)),"",VLOOKUP($C43,'START LİSTE'!$B$6:$F$1025,4,0))</f>
      </c>
      <c r="F43" s="130">
        <f>IF(ISERROR(VLOOKUP($C43,'FERDİ SONUÇ'!$B$6:$H$1069,6,0)),"",VLOOKUP($C43,'FERDİ SONUÇ'!$B$6:$H$1069,6,0))</f>
      </c>
      <c r="G43" s="131" t="str">
        <f>IF(OR(E43="",F43="DQ",F43="DNF",F43="DNS",F43=""),"-",VLOOKUP(C43,'FERDİ SONUÇ'!$B$6:$H$1069,7,0))</f>
        <v>-</v>
      </c>
      <c r="H43" s="151"/>
      <c r="I43" s="151"/>
      <c r="J43" s="151"/>
      <c r="K43" s="147"/>
    </row>
    <row r="44" spans="1:11" ht="15.75">
      <c r="A44" s="125" t="e">
        <f>IF(ISERROR(SMALL('TAKIM KAYIT'!$A$6:$A$125,1)),"",SMALL('TAKIM KAYIT'!$A$6:$A$125,10))</f>
        <v>#NUM!</v>
      </c>
      <c r="B44" s="126" t="e">
        <f>IF(A44="","",VLOOKUP(A44,'TAKIM KAYIT'!$A$6:$O$1250,3,0))</f>
        <v>#NUM!</v>
      </c>
      <c r="C44" s="127" t="e">
        <f>IF(A44="","",VLOOKUP(A44,'TAKIM KAYIT'!$B$6:$O$125,3,FALSE))</f>
        <v>#NUM!</v>
      </c>
      <c r="D44" s="128">
        <f>IF(ISERROR(VLOOKUP($C44,'START LİSTE'!$B$6:$F$1025,2,0)),"",VLOOKUP($C44,'START LİSTE'!$B$6:$F$1025,2,0))</f>
      </c>
      <c r="E44" s="129">
        <f>IF(ISERROR(VLOOKUP($C44,'START LİSTE'!$B$6:$F$1025,4,0)),"",VLOOKUP($C44,'START LİSTE'!$B$6:$F$1025,4,0))</f>
      </c>
      <c r="F44" s="130">
        <f>IF(ISERROR(VLOOKUP($C44,'FERDİ SONUÇ'!$B$6:$H$1069,6,0)),"",VLOOKUP($C44,'FERDİ SONUÇ'!$B$6:$H$1069,6,0))</f>
      </c>
      <c r="G44" s="131" t="str">
        <f>IF(OR(E44="",F44="DQ",F44="DNF",F44="DNS",F44=""),"-",VLOOKUP(C44,'FERDİ SONUÇ'!$B$6:$H$1069,7,0))</f>
        <v>-</v>
      </c>
      <c r="H44" s="143" t="e">
        <f>IF(A44="","",VLOOKUP(A44,'TAKIM KAYIT'!$A$6:$T$1250,11,0))</f>
        <v>#NUM!</v>
      </c>
      <c r="I44" s="143" t="e">
        <f>IF(A44="","",VLOOKUP(A44,'TAKIM KAYIT'!$A$6:$T$1250,12,0))</f>
        <v>#NUM!</v>
      </c>
      <c r="J44" s="110" t="e">
        <f>IF(A44="","",VLOOKUP(A44,'TAKIM KAYIT'!$A$6:$T$1250,13,0))</f>
        <v>#NUM!</v>
      </c>
      <c r="K44" s="143" t="e">
        <f>IF(A44="","",VLOOKUP(A44,'TAKIM KAYIT'!$A$6:$T$1250,15,0))</f>
        <v>#NUM!</v>
      </c>
    </row>
    <row r="45" spans="1:11" ht="14.25">
      <c r="A45" s="125"/>
      <c r="B45" s="126"/>
      <c r="C45" s="127" t="e">
        <f>IF(A44="","",INDEX('TAKIM KAYIT'!$D$6:$D$125,MATCH(C44,'TAKIM KAYIT'!$D$6:$D$125,0)+1))</f>
        <v>#NUM!</v>
      </c>
      <c r="D45" s="128">
        <f>IF(ISERROR(VLOOKUP($C45,'START LİSTE'!$B$6:$F$1025,2,0)),"",VLOOKUP($C45,'START LİSTE'!$B$6:$F$1025,2,0))</f>
      </c>
      <c r="E45" s="129">
        <f>IF(ISERROR(VLOOKUP($C45,'START LİSTE'!$B$6:$F$1025,4,0)),"",VLOOKUP($C45,'START LİSTE'!$B$6:$F$1025,4,0))</f>
      </c>
      <c r="F45" s="130">
        <f>IF(ISERROR(VLOOKUP($C45,'FERDİ SONUÇ'!$B$6:$H$1069,6,0)),"",VLOOKUP($C45,'FERDİ SONUÇ'!$B$6:$H$1069,6,0))</f>
      </c>
      <c r="G45" s="131" t="str">
        <f>IF(OR(E45="",F45="DQ",F45="DNF",F45="DNS",F45=""),"-",VLOOKUP(C45,'FERDİ SONUÇ'!$B$6:$H$1069,7,0))</f>
        <v>-</v>
      </c>
      <c r="H45" s="151"/>
      <c r="I45" s="151"/>
      <c r="J45" s="151"/>
      <c r="K45" s="147"/>
    </row>
    <row r="46" spans="1:11" ht="14.25">
      <c r="A46" s="118"/>
      <c r="B46" s="119"/>
      <c r="C46" s="120" t="e">
        <f>IF(A48="","",INDEX('TAKIM KAYIT'!$D$6:$D$125,MATCH(C48,'TAKIM KAYIT'!$D$6:$D$125,0)-2))</f>
        <v>#NUM!</v>
      </c>
      <c r="D46" s="121">
        <f>IF(ISERROR(VLOOKUP($C46,'START LİSTE'!$B$6:$F$1025,2,0)),"",VLOOKUP($C46,'START LİSTE'!$B$6:$F$1025,2,0))</f>
      </c>
      <c r="E46" s="122">
        <f>IF(ISERROR(VLOOKUP($C46,'START LİSTE'!$B$6:$F$1025,4,0)),"",VLOOKUP($C46,'START LİSTE'!$B$6:$F$1025,4,0))</f>
      </c>
      <c r="F46" s="123">
        <f>IF(ISERROR(VLOOKUP($C46,'FERDİ SONUÇ'!$B$6:$H$1069,6,0)),"",VLOOKUP($C46,'FERDİ SONUÇ'!$B$6:$H$1069,6,0))</f>
      </c>
      <c r="G46" s="124" t="str">
        <f>IF(OR(E46="",F46="DQ",F46="DNF",F46="DNS",F46=""),"-",VLOOKUP(C46,'FERDİ SONUÇ'!$B$6:$H$1069,7,0))</f>
        <v>-</v>
      </c>
      <c r="H46" s="150"/>
      <c r="I46" s="150"/>
      <c r="J46" s="150"/>
      <c r="K46" s="146"/>
    </row>
    <row r="47" spans="1:11" ht="14.25">
      <c r="A47" s="125"/>
      <c r="B47" s="126"/>
      <c r="C47" s="127" t="e">
        <f>IF(A48="","",INDEX('TAKIM KAYIT'!$D$6:$D$125,MATCH(C48,'TAKIM KAYIT'!$D$6:$D$125,0)-1))</f>
        <v>#NUM!</v>
      </c>
      <c r="D47" s="128">
        <f>IF(ISERROR(VLOOKUP($C47,'START LİSTE'!$B$6:$F$1025,2,0)),"",VLOOKUP($C47,'START LİSTE'!$B$6:$F$1025,2,0))</f>
      </c>
      <c r="E47" s="129">
        <f>IF(ISERROR(VLOOKUP($C47,'START LİSTE'!$B$6:$F$1025,4,0)),"",VLOOKUP($C47,'START LİSTE'!$B$6:$F$1025,4,0))</f>
      </c>
      <c r="F47" s="130">
        <f>IF(ISERROR(VLOOKUP($C47,'FERDİ SONUÇ'!$B$6:$H$1069,6,0)),"",VLOOKUP($C47,'FERDİ SONUÇ'!$B$6:$H$1069,6,0))</f>
      </c>
      <c r="G47" s="131" t="str">
        <f>IF(OR(E47="",F47="DQ",F47="DNF",F47="DNS",F47=""),"-",VLOOKUP(C47,'FERDİ SONUÇ'!$B$6:$H$1069,7,0))</f>
        <v>-</v>
      </c>
      <c r="H47" s="151"/>
      <c r="I47" s="151"/>
      <c r="J47" s="151"/>
      <c r="K47" s="147"/>
    </row>
    <row r="48" spans="1:11" ht="15.75">
      <c r="A48" s="125" t="e">
        <f>IF(ISERROR(SMALL('TAKIM KAYIT'!$A$6:$A$125,1)),"",SMALL('TAKIM KAYIT'!$A$6:$A$125,11))</f>
        <v>#NUM!</v>
      </c>
      <c r="B48" s="126" t="e">
        <f>IF(A48="","",VLOOKUP(A48,'TAKIM KAYIT'!$A$6:$O$1250,3,0))</f>
        <v>#NUM!</v>
      </c>
      <c r="C48" s="127" t="e">
        <f>IF(A48="","",VLOOKUP(A48,'TAKIM KAYIT'!$B$6:$O$125,3,FALSE))</f>
        <v>#NUM!</v>
      </c>
      <c r="D48" s="128">
        <f>IF(ISERROR(VLOOKUP($C48,'START LİSTE'!$B$6:$F$1025,2,0)),"",VLOOKUP($C48,'START LİSTE'!$B$6:$F$1025,2,0))</f>
      </c>
      <c r="E48" s="129">
        <f>IF(ISERROR(VLOOKUP($C48,'START LİSTE'!$B$6:$F$1025,4,0)),"",VLOOKUP($C48,'START LİSTE'!$B$6:$F$1025,4,0))</f>
      </c>
      <c r="F48" s="130">
        <f>IF(ISERROR(VLOOKUP($C48,'FERDİ SONUÇ'!$B$6:$H$1069,6,0)),"",VLOOKUP($C48,'FERDİ SONUÇ'!$B$6:$H$1069,6,0))</f>
      </c>
      <c r="G48" s="131" t="str">
        <f>IF(OR(E48="",F48="DQ",F48="DNF",F48="DNS",F48=""),"-",VLOOKUP(C48,'FERDİ SONUÇ'!$B$6:$H$1069,7,0))</f>
        <v>-</v>
      </c>
      <c r="H48" s="143" t="e">
        <f>IF(A48="","",VLOOKUP(A48,'TAKIM KAYIT'!$A$6:$T$1250,11,0))</f>
        <v>#NUM!</v>
      </c>
      <c r="I48" s="143" t="e">
        <f>IF(A48="","",VLOOKUP(A48,'TAKIM KAYIT'!$A$6:$T$1250,12,0))</f>
        <v>#NUM!</v>
      </c>
      <c r="J48" s="110" t="e">
        <f>IF(A48="","",VLOOKUP(A48,'TAKIM KAYIT'!$A$6:$T$1250,13,0))</f>
        <v>#NUM!</v>
      </c>
      <c r="K48" s="143" t="e">
        <f>IF(A48="","",VLOOKUP(A48,'TAKIM KAYIT'!$A$6:$T$1250,15,0))</f>
        <v>#NUM!</v>
      </c>
    </row>
    <row r="49" spans="1:11" ht="14.25">
      <c r="A49" s="125"/>
      <c r="B49" s="126"/>
      <c r="C49" s="127" t="e">
        <f>IF(A48="","",INDEX('TAKIM KAYIT'!$D$6:$D$125,MATCH(C48,'TAKIM KAYIT'!$D$6:$D$125,0)+1))</f>
        <v>#NUM!</v>
      </c>
      <c r="D49" s="128">
        <f>IF(ISERROR(VLOOKUP($C49,'START LİSTE'!$B$6:$F$1025,2,0)),"",VLOOKUP($C49,'START LİSTE'!$B$6:$F$1025,2,0))</f>
      </c>
      <c r="E49" s="129">
        <f>IF(ISERROR(VLOOKUP($C49,'START LİSTE'!$B$6:$F$1025,4,0)),"",VLOOKUP($C49,'START LİSTE'!$B$6:$F$1025,4,0))</f>
      </c>
      <c r="F49" s="130">
        <f>IF(ISERROR(VLOOKUP($C49,'FERDİ SONUÇ'!$B$6:$H$1069,6,0)),"",VLOOKUP($C49,'FERDİ SONUÇ'!$B$6:$H$1069,6,0))</f>
      </c>
      <c r="G49" s="131" t="str">
        <f>IF(OR(E49="",F49="DQ",F49="DNF",F49="DNS",F49=""),"-",VLOOKUP(C49,'FERDİ SONUÇ'!$B$6:$H$1069,7,0))</f>
        <v>-</v>
      </c>
      <c r="H49" s="151"/>
      <c r="I49" s="151"/>
      <c r="J49" s="151"/>
      <c r="K49" s="147"/>
    </row>
    <row r="50" spans="1:11" ht="14.25">
      <c r="A50" s="118"/>
      <c r="B50" s="119"/>
      <c r="C50" s="120" t="e">
        <f>IF(A52="","",INDEX('TAKIM KAYIT'!$D$6:$D$125,MATCH(C52,'TAKIM KAYIT'!$D$6:$D$125,0)-2))</f>
        <v>#NUM!</v>
      </c>
      <c r="D50" s="121">
        <f>IF(ISERROR(VLOOKUP($C50,'START LİSTE'!$B$6:$F$1025,2,0)),"",VLOOKUP($C50,'START LİSTE'!$B$6:$F$1025,2,0))</f>
      </c>
      <c r="E50" s="122">
        <f>IF(ISERROR(VLOOKUP($C50,'START LİSTE'!$B$6:$F$1025,4,0)),"",VLOOKUP($C50,'START LİSTE'!$B$6:$F$1025,4,0))</f>
      </c>
      <c r="F50" s="123">
        <f>IF(ISERROR(VLOOKUP($C50,'FERDİ SONUÇ'!$B$6:$H$1069,6,0)),"",VLOOKUP($C50,'FERDİ SONUÇ'!$B$6:$H$1069,6,0))</f>
      </c>
      <c r="G50" s="124" t="str">
        <f>IF(OR(E50="",F50="DQ",F50="DNF",F50="DNS",F50=""),"-",VLOOKUP(C50,'FERDİ SONUÇ'!$B$6:$H$1069,7,0))</f>
        <v>-</v>
      </c>
      <c r="H50" s="150"/>
      <c r="I50" s="150"/>
      <c r="J50" s="150"/>
      <c r="K50" s="146"/>
    </row>
    <row r="51" spans="1:11" ht="14.25">
      <c r="A51" s="125"/>
      <c r="B51" s="126"/>
      <c r="C51" s="127" t="e">
        <f>IF(A52="","",INDEX('TAKIM KAYIT'!$D$6:$D$125,MATCH(C52,'TAKIM KAYIT'!$D$6:$D$125,0)-1))</f>
        <v>#NUM!</v>
      </c>
      <c r="D51" s="128">
        <f>IF(ISERROR(VLOOKUP($C51,'START LİSTE'!$B$6:$F$1025,2,0)),"",VLOOKUP($C51,'START LİSTE'!$B$6:$F$1025,2,0))</f>
      </c>
      <c r="E51" s="129">
        <f>IF(ISERROR(VLOOKUP($C51,'START LİSTE'!$B$6:$F$1025,4,0)),"",VLOOKUP($C51,'START LİSTE'!$B$6:$F$1025,4,0))</f>
      </c>
      <c r="F51" s="130">
        <f>IF(ISERROR(VLOOKUP($C51,'FERDİ SONUÇ'!$B$6:$H$1069,6,0)),"",VLOOKUP($C51,'FERDİ SONUÇ'!$B$6:$H$1069,6,0))</f>
      </c>
      <c r="G51" s="131" t="str">
        <f>IF(OR(E51="",F51="DQ",F51="DNF",F51="DNS",F51=""),"-",VLOOKUP(C51,'FERDİ SONUÇ'!$B$6:$H$1069,7,0))</f>
        <v>-</v>
      </c>
      <c r="H51" s="151"/>
      <c r="I51" s="151"/>
      <c r="J51" s="151"/>
      <c r="K51" s="147"/>
    </row>
    <row r="52" spans="1:11" ht="15.75">
      <c r="A52" s="125" t="e">
        <f>IF(ISERROR(SMALL('TAKIM KAYIT'!$A$6:$A$125,1)),"",SMALL('TAKIM KAYIT'!$A$6:$A$125,12))</f>
        <v>#NUM!</v>
      </c>
      <c r="B52" s="126" t="e">
        <f>IF(A52="","",VLOOKUP(A52,'TAKIM KAYIT'!$A$6:$O$1250,3,0))</f>
        <v>#NUM!</v>
      </c>
      <c r="C52" s="127" t="e">
        <f>IF(A52="","",VLOOKUP(A52,'TAKIM KAYIT'!$B$6:$O$125,3,FALSE))</f>
        <v>#NUM!</v>
      </c>
      <c r="D52" s="128">
        <f>IF(ISERROR(VLOOKUP($C52,'START LİSTE'!$B$6:$F$1025,2,0)),"",VLOOKUP($C52,'START LİSTE'!$B$6:$F$1025,2,0))</f>
      </c>
      <c r="E52" s="129">
        <f>IF(ISERROR(VLOOKUP($C52,'START LİSTE'!$B$6:$F$1025,4,0)),"",VLOOKUP($C52,'START LİSTE'!$B$6:$F$1025,4,0))</f>
      </c>
      <c r="F52" s="130">
        <f>IF(ISERROR(VLOOKUP($C52,'FERDİ SONUÇ'!$B$6:$H$1069,6,0)),"",VLOOKUP($C52,'FERDİ SONUÇ'!$B$6:$H$1069,6,0))</f>
      </c>
      <c r="G52" s="131" t="str">
        <f>IF(OR(E52="",F52="DQ",F52="DNF",F52="DNS",F52=""),"-",VLOOKUP(C52,'FERDİ SONUÇ'!$B$6:$H$1069,7,0))</f>
        <v>-</v>
      </c>
      <c r="H52" s="143" t="e">
        <f>IF(A52="","",VLOOKUP(A52,'TAKIM KAYIT'!$A$6:$T$1250,11,0))</f>
        <v>#NUM!</v>
      </c>
      <c r="I52" s="143" t="e">
        <f>IF(A52="","",VLOOKUP(A52,'TAKIM KAYIT'!$A$6:$T$1250,12,0))</f>
        <v>#NUM!</v>
      </c>
      <c r="J52" s="110" t="e">
        <f>IF(A52="","",VLOOKUP(A52,'TAKIM KAYIT'!$A$6:$T$1250,13,0))</f>
        <v>#NUM!</v>
      </c>
      <c r="K52" s="143" t="e">
        <f>IF(A52="","",VLOOKUP(A52,'TAKIM KAYIT'!$A$6:$T$1250,15,0))</f>
        <v>#NUM!</v>
      </c>
    </row>
    <row r="53" spans="1:11" ht="14.25">
      <c r="A53" s="125"/>
      <c r="B53" s="126"/>
      <c r="C53" s="127" t="e">
        <f>IF(A52="","",INDEX('TAKIM KAYIT'!$D$6:$D$125,MATCH(C52,'TAKIM KAYIT'!$D$6:$D$125,0)+1))</f>
        <v>#NUM!</v>
      </c>
      <c r="D53" s="128">
        <f>IF(ISERROR(VLOOKUP($C53,'START LİSTE'!$B$6:$F$1025,2,0)),"",VLOOKUP($C53,'START LİSTE'!$B$6:$F$1025,2,0))</f>
      </c>
      <c r="E53" s="129">
        <f>IF(ISERROR(VLOOKUP($C53,'START LİSTE'!$B$6:$F$1025,4,0)),"",VLOOKUP($C53,'START LİSTE'!$B$6:$F$1025,4,0))</f>
      </c>
      <c r="F53" s="130">
        <f>IF(ISERROR(VLOOKUP($C53,'FERDİ SONUÇ'!$B$6:$H$1069,6,0)),"",VLOOKUP($C53,'FERDİ SONUÇ'!$B$6:$H$1069,6,0))</f>
      </c>
      <c r="G53" s="131" t="str">
        <f>IF(OR(E53="",F53="DQ",F53="DNF",F53="DNS",F53=""),"-",VLOOKUP(C53,'FERDİ SONUÇ'!$B$6:$H$1069,7,0))</f>
        <v>-</v>
      </c>
      <c r="H53" s="151"/>
      <c r="I53" s="151"/>
      <c r="J53" s="151"/>
      <c r="K53" s="147"/>
    </row>
    <row r="54" spans="1:11" ht="14.25">
      <c r="A54" s="118"/>
      <c r="B54" s="119"/>
      <c r="C54" s="120" t="e">
        <f>IF(A56="","",INDEX('TAKIM KAYIT'!$D$6:$D$125,MATCH(C56,'TAKIM KAYIT'!$D$6:$D$125,0)-2))</f>
        <v>#NUM!</v>
      </c>
      <c r="D54" s="121">
        <f>IF(ISERROR(VLOOKUP($C54,'START LİSTE'!$B$6:$F$1025,2,0)),"",VLOOKUP($C54,'START LİSTE'!$B$6:$F$1025,2,0))</f>
      </c>
      <c r="E54" s="122">
        <f>IF(ISERROR(VLOOKUP($C54,'START LİSTE'!$B$6:$F$1025,4,0)),"",VLOOKUP($C54,'START LİSTE'!$B$6:$F$1025,4,0))</f>
      </c>
      <c r="F54" s="123">
        <f>IF(ISERROR(VLOOKUP($C54,'FERDİ SONUÇ'!$B$6:$H$1069,6,0)),"",VLOOKUP($C54,'FERDİ SONUÇ'!$B$6:$H$1069,6,0))</f>
      </c>
      <c r="G54" s="124" t="str">
        <f>IF(OR(E54="",F54="DQ",F54="DNF",F54="DNS",F54=""),"-",VLOOKUP(C54,'FERDİ SONUÇ'!$B$6:$H$1069,7,0))</f>
        <v>-</v>
      </c>
      <c r="H54" s="150"/>
      <c r="I54" s="150"/>
      <c r="J54" s="150"/>
      <c r="K54" s="146"/>
    </row>
    <row r="55" spans="1:11" ht="14.25">
      <c r="A55" s="125"/>
      <c r="B55" s="126"/>
      <c r="C55" s="127" t="e">
        <f>IF(A56="","",INDEX('TAKIM KAYIT'!$D$6:$D$125,MATCH(C56,'TAKIM KAYIT'!$D$6:$D$125,0)-1))</f>
        <v>#NUM!</v>
      </c>
      <c r="D55" s="128">
        <f>IF(ISERROR(VLOOKUP($C55,'START LİSTE'!$B$6:$F$1025,2,0)),"",VLOOKUP($C55,'START LİSTE'!$B$6:$F$1025,2,0))</f>
      </c>
      <c r="E55" s="129">
        <f>IF(ISERROR(VLOOKUP($C55,'START LİSTE'!$B$6:$F$1025,4,0)),"",VLOOKUP($C55,'START LİSTE'!$B$6:$F$1025,4,0))</f>
      </c>
      <c r="F55" s="130">
        <f>IF(ISERROR(VLOOKUP($C55,'FERDİ SONUÇ'!$B$6:$H$1069,6,0)),"",VLOOKUP($C55,'FERDİ SONUÇ'!$B$6:$H$1069,6,0))</f>
      </c>
      <c r="G55" s="131" t="str">
        <f>IF(OR(E55="",F55="DQ",F55="DNF",F55="DNS",F55=""),"-",VLOOKUP(C55,'FERDİ SONUÇ'!$B$6:$H$1069,7,0))</f>
        <v>-</v>
      </c>
      <c r="H55" s="151"/>
      <c r="I55" s="151"/>
      <c r="J55" s="151"/>
      <c r="K55" s="147"/>
    </row>
    <row r="56" spans="1:11" ht="15.75">
      <c r="A56" s="125" t="e">
        <f>IF(ISERROR(SMALL('TAKIM KAYIT'!$A$6:$A$125,1)),"",SMALL('TAKIM KAYIT'!$A$6:$A$125,13))</f>
        <v>#NUM!</v>
      </c>
      <c r="B56" s="126" t="e">
        <f>IF(A56="","",VLOOKUP(A56,'TAKIM KAYIT'!$A$6:$O$1250,3,0))</f>
        <v>#NUM!</v>
      </c>
      <c r="C56" s="127" t="e">
        <f>IF(A56="","",VLOOKUP(A56,'TAKIM KAYIT'!$B$6:$O$125,3,FALSE))</f>
        <v>#NUM!</v>
      </c>
      <c r="D56" s="128">
        <f>IF(ISERROR(VLOOKUP($C56,'START LİSTE'!$B$6:$F$1025,2,0)),"",VLOOKUP($C56,'START LİSTE'!$B$6:$F$1025,2,0))</f>
      </c>
      <c r="E56" s="129">
        <f>IF(ISERROR(VLOOKUP($C56,'START LİSTE'!$B$6:$F$1025,4,0)),"",VLOOKUP($C56,'START LİSTE'!$B$6:$F$1025,4,0))</f>
      </c>
      <c r="F56" s="130">
        <f>IF(ISERROR(VLOOKUP($C56,'FERDİ SONUÇ'!$B$6:$H$1069,6,0)),"",VLOOKUP($C56,'FERDİ SONUÇ'!$B$6:$H$1069,6,0))</f>
      </c>
      <c r="G56" s="131" t="str">
        <f>IF(OR(E56="",F56="DQ",F56="DNF",F56="DNS",F56=""),"-",VLOOKUP(C56,'FERDİ SONUÇ'!$B$6:$H$1069,7,0))</f>
        <v>-</v>
      </c>
      <c r="H56" s="143" t="e">
        <f>IF(A56="","",VLOOKUP(A56,'TAKIM KAYIT'!$A$6:$T$1250,11,0))</f>
        <v>#NUM!</v>
      </c>
      <c r="I56" s="143" t="e">
        <f>IF(A56="","",VLOOKUP(A56,'TAKIM KAYIT'!$A$6:$T$1250,12,0))</f>
        <v>#NUM!</v>
      </c>
      <c r="J56" s="110" t="e">
        <f>IF(A56="","",VLOOKUP(A56,'TAKIM KAYIT'!$A$6:$T$1250,13,0))</f>
        <v>#NUM!</v>
      </c>
      <c r="K56" s="143" t="e">
        <f>IF(A56="","",VLOOKUP(A56,'TAKIM KAYIT'!$A$6:$T$1250,15,0))</f>
        <v>#NUM!</v>
      </c>
    </row>
    <row r="57" spans="1:11" ht="14.25">
      <c r="A57" s="125"/>
      <c r="B57" s="126"/>
      <c r="C57" s="127" t="e">
        <f>IF(A56="","",INDEX('TAKIM KAYIT'!$D$6:$D$125,MATCH(C56,'TAKIM KAYIT'!$D$6:$D$125,0)+1))</f>
        <v>#NUM!</v>
      </c>
      <c r="D57" s="128">
        <f>IF(ISERROR(VLOOKUP($C57,'START LİSTE'!$B$6:$F$1025,2,0)),"",VLOOKUP($C57,'START LİSTE'!$B$6:$F$1025,2,0))</f>
      </c>
      <c r="E57" s="129">
        <f>IF(ISERROR(VLOOKUP($C57,'START LİSTE'!$B$6:$F$1025,4,0)),"",VLOOKUP($C57,'START LİSTE'!$B$6:$F$1025,4,0))</f>
      </c>
      <c r="F57" s="130">
        <f>IF(ISERROR(VLOOKUP($C57,'FERDİ SONUÇ'!$B$6:$H$1069,6,0)),"",VLOOKUP($C57,'FERDİ SONUÇ'!$B$6:$H$1069,6,0))</f>
      </c>
      <c r="G57" s="131" t="str">
        <f>IF(OR(E57="",F57="DQ",F57="DNF",F57="DNS",F57=""),"-",VLOOKUP(C57,'FERDİ SONUÇ'!$B$6:$H$1069,7,0))</f>
        <v>-</v>
      </c>
      <c r="H57" s="151"/>
      <c r="I57" s="151"/>
      <c r="J57" s="151"/>
      <c r="K57" s="147"/>
    </row>
    <row r="58" spans="1:11" ht="14.25">
      <c r="A58" s="118"/>
      <c r="B58" s="119"/>
      <c r="C58" s="120" t="e">
        <f>IF(A60="","",INDEX('TAKIM KAYIT'!$D$6:$D$125,MATCH(C60,'TAKIM KAYIT'!$D$6:$D$125,0)-2))</f>
        <v>#NUM!</v>
      </c>
      <c r="D58" s="121">
        <f>IF(ISERROR(VLOOKUP($C58,'START LİSTE'!$B$6:$F$1025,2,0)),"",VLOOKUP($C58,'START LİSTE'!$B$6:$F$1025,2,0))</f>
      </c>
      <c r="E58" s="122">
        <f>IF(ISERROR(VLOOKUP($C58,'START LİSTE'!$B$6:$F$1025,4,0)),"",VLOOKUP($C58,'START LİSTE'!$B$6:$F$1025,4,0))</f>
      </c>
      <c r="F58" s="123">
        <f>IF(ISERROR(VLOOKUP($C58,'FERDİ SONUÇ'!$B$6:$H$1069,6,0)),"",VLOOKUP($C58,'FERDİ SONUÇ'!$B$6:$H$1069,6,0))</f>
      </c>
      <c r="G58" s="124" t="str">
        <f>IF(OR(E58="",F58="DQ",F58="DNF",F58="DNS",F58=""),"-",VLOOKUP(C58,'FERDİ SONUÇ'!$B$6:$H$1069,7,0))</f>
        <v>-</v>
      </c>
      <c r="H58" s="150"/>
      <c r="I58" s="150"/>
      <c r="J58" s="150"/>
      <c r="K58" s="146"/>
    </row>
    <row r="59" spans="1:11" ht="14.25">
      <c r="A59" s="125"/>
      <c r="B59" s="126"/>
      <c r="C59" s="127" t="e">
        <f>IF(A60="","",INDEX('TAKIM KAYIT'!$D$6:$D$125,MATCH(C60,'TAKIM KAYIT'!$D$6:$D$125,0)-1))</f>
        <v>#NUM!</v>
      </c>
      <c r="D59" s="128">
        <f>IF(ISERROR(VLOOKUP($C59,'START LİSTE'!$B$6:$F$1025,2,0)),"",VLOOKUP($C59,'START LİSTE'!$B$6:$F$1025,2,0))</f>
      </c>
      <c r="E59" s="129">
        <f>IF(ISERROR(VLOOKUP($C59,'START LİSTE'!$B$6:$F$1025,4,0)),"",VLOOKUP($C59,'START LİSTE'!$B$6:$F$1025,4,0))</f>
      </c>
      <c r="F59" s="130">
        <f>IF(ISERROR(VLOOKUP($C59,'FERDİ SONUÇ'!$B$6:$H$1069,6,0)),"",VLOOKUP($C59,'FERDİ SONUÇ'!$B$6:$H$1069,6,0))</f>
      </c>
      <c r="G59" s="131" t="str">
        <f>IF(OR(E59="",F59="DQ",F59="DNF",F59="DNS",F59=""),"-",VLOOKUP(C59,'FERDİ SONUÇ'!$B$6:$H$1069,7,0))</f>
        <v>-</v>
      </c>
      <c r="H59" s="151"/>
      <c r="I59" s="151"/>
      <c r="J59" s="151"/>
      <c r="K59" s="147"/>
    </row>
    <row r="60" spans="1:11" ht="15.75">
      <c r="A60" s="125" t="e">
        <f>IF(ISERROR(SMALL('TAKIM KAYIT'!$A$6:$A$125,1)),"",SMALL('TAKIM KAYIT'!$A$6:$A$125,14))</f>
        <v>#NUM!</v>
      </c>
      <c r="B60" s="126" t="e">
        <f>IF(A60="","",VLOOKUP(A60,'TAKIM KAYIT'!$A$6:$O$1250,3,0))</f>
        <v>#NUM!</v>
      </c>
      <c r="C60" s="127" t="e">
        <f>IF(A60="","",VLOOKUP(A60,'TAKIM KAYIT'!$B$6:$O$125,3,FALSE))</f>
        <v>#NUM!</v>
      </c>
      <c r="D60" s="128">
        <f>IF(ISERROR(VLOOKUP($C60,'START LİSTE'!$B$6:$F$1025,2,0)),"",VLOOKUP($C60,'START LİSTE'!$B$6:$F$1025,2,0))</f>
      </c>
      <c r="E60" s="129">
        <f>IF(ISERROR(VLOOKUP($C60,'START LİSTE'!$B$6:$F$1025,4,0)),"",VLOOKUP($C60,'START LİSTE'!$B$6:$F$1025,4,0))</f>
      </c>
      <c r="F60" s="130">
        <f>IF(ISERROR(VLOOKUP($C60,'FERDİ SONUÇ'!$B$6:$H$1069,6,0)),"",VLOOKUP($C60,'FERDİ SONUÇ'!$B$6:$H$1069,6,0))</f>
      </c>
      <c r="G60" s="131" t="str">
        <f>IF(OR(E60="",F60="DQ",F60="DNF",F60="DNS",F60=""),"-",VLOOKUP(C60,'FERDİ SONUÇ'!$B$6:$H$1069,7,0))</f>
        <v>-</v>
      </c>
      <c r="H60" s="143" t="e">
        <f>IF(A60="","",VLOOKUP(A60,'TAKIM KAYIT'!$A$6:$T$1250,11,0))</f>
        <v>#NUM!</v>
      </c>
      <c r="I60" s="143" t="e">
        <f>IF(A60="","",VLOOKUP(A60,'TAKIM KAYIT'!$A$6:$T$1250,12,0))</f>
        <v>#NUM!</v>
      </c>
      <c r="J60" s="110" t="e">
        <f>IF(A60="","",VLOOKUP(A60,'TAKIM KAYIT'!$A$6:$T$1250,13,0))</f>
        <v>#NUM!</v>
      </c>
      <c r="K60" s="143" t="e">
        <f>IF(A60="","",VLOOKUP(A60,'TAKIM KAYIT'!$A$6:$T$1250,15,0))</f>
        <v>#NUM!</v>
      </c>
    </row>
    <row r="61" spans="1:11" ht="14.25">
      <c r="A61" s="125"/>
      <c r="B61" s="126"/>
      <c r="C61" s="127" t="e">
        <f>IF(A60="","",INDEX('TAKIM KAYIT'!$D$6:$D$125,MATCH(C60,'TAKIM KAYIT'!$D$6:$D$125,0)+1))</f>
        <v>#NUM!</v>
      </c>
      <c r="D61" s="128">
        <f>IF(ISERROR(VLOOKUP($C61,'START LİSTE'!$B$6:$F$1025,2,0)),"",VLOOKUP($C61,'START LİSTE'!$B$6:$F$1025,2,0))</f>
      </c>
      <c r="E61" s="129">
        <f>IF(ISERROR(VLOOKUP($C61,'START LİSTE'!$B$6:$F$1025,4,0)),"",VLOOKUP($C61,'START LİSTE'!$B$6:$F$1025,4,0))</f>
      </c>
      <c r="F61" s="130">
        <f>IF(ISERROR(VLOOKUP($C61,'FERDİ SONUÇ'!$B$6:$H$1069,6,0)),"",VLOOKUP($C61,'FERDİ SONUÇ'!$B$6:$H$1069,6,0))</f>
      </c>
      <c r="G61" s="131" t="str">
        <f>IF(OR(E61="",F61="DQ",F61="DNF",F61="DNS",F61=""),"-",VLOOKUP(C61,'FERDİ SONUÇ'!$B$6:$H$1069,7,0))</f>
        <v>-</v>
      </c>
      <c r="H61" s="151"/>
      <c r="I61" s="151"/>
      <c r="J61" s="151"/>
      <c r="K61" s="147"/>
    </row>
    <row r="62" spans="1:11" ht="14.25">
      <c r="A62" s="118"/>
      <c r="B62" s="119"/>
      <c r="C62" s="120" t="e">
        <f>IF(A64="","",INDEX('TAKIM KAYIT'!$D$6:$D$125,MATCH(C64,'TAKIM KAYIT'!$D$6:$D$125,0)-2))</f>
        <v>#NUM!</v>
      </c>
      <c r="D62" s="121">
        <f>IF(ISERROR(VLOOKUP($C62,'START LİSTE'!$B$6:$F$1025,2,0)),"",VLOOKUP($C62,'START LİSTE'!$B$6:$F$1025,2,0))</f>
      </c>
      <c r="E62" s="122">
        <f>IF(ISERROR(VLOOKUP($C62,'START LİSTE'!$B$6:$F$1025,4,0)),"",VLOOKUP($C62,'START LİSTE'!$B$6:$F$1025,4,0))</f>
      </c>
      <c r="F62" s="123">
        <f>IF(ISERROR(VLOOKUP($C62,'FERDİ SONUÇ'!$B$6:$H$1069,6,0)),"",VLOOKUP($C62,'FERDİ SONUÇ'!$B$6:$H$1069,6,0))</f>
      </c>
      <c r="G62" s="124" t="str">
        <f>IF(OR(E62="",F62="DQ",F62="DNF",F62="DNS",F62=""),"-",VLOOKUP(C62,'FERDİ SONUÇ'!$B$6:$H$1069,7,0))</f>
        <v>-</v>
      </c>
      <c r="H62" s="150"/>
      <c r="I62" s="150"/>
      <c r="J62" s="150"/>
      <c r="K62" s="146"/>
    </row>
    <row r="63" spans="1:11" ht="14.25">
      <c r="A63" s="125"/>
      <c r="B63" s="126"/>
      <c r="C63" s="127" t="e">
        <f>IF(A64="","",INDEX('TAKIM KAYIT'!$D$6:$D$125,MATCH(C64,'TAKIM KAYIT'!$D$6:$D$125,0)-1))</f>
        <v>#NUM!</v>
      </c>
      <c r="D63" s="128">
        <f>IF(ISERROR(VLOOKUP($C63,'START LİSTE'!$B$6:$F$1025,2,0)),"",VLOOKUP($C63,'START LİSTE'!$B$6:$F$1025,2,0))</f>
      </c>
      <c r="E63" s="129">
        <f>IF(ISERROR(VLOOKUP($C63,'START LİSTE'!$B$6:$F$1025,4,0)),"",VLOOKUP($C63,'START LİSTE'!$B$6:$F$1025,4,0))</f>
      </c>
      <c r="F63" s="130">
        <f>IF(ISERROR(VLOOKUP($C63,'FERDİ SONUÇ'!$B$6:$H$1069,6,0)),"",VLOOKUP($C63,'FERDİ SONUÇ'!$B$6:$H$1069,6,0))</f>
      </c>
      <c r="G63" s="131" t="str">
        <f>IF(OR(E63="",F63="DQ",F63="DNF",F63="DNS",F63=""),"-",VLOOKUP(C63,'FERDİ SONUÇ'!$B$6:$H$1069,7,0))</f>
        <v>-</v>
      </c>
      <c r="H63" s="151"/>
      <c r="I63" s="151"/>
      <c r="J63" s="151"/>
      <c r="K63" s="147"/>
    </row>
    <row r="64" spans="1:11" ht="15.75">
      <c r="A64" s="125" t="e">
        <f>IF(ISERROR(SMALL('TAKIM KAYIT'!$A$6:$A$125,1)),"",SMALL('TAKIM KAYIT'!$A$6:$A$125,15))</f>
        <v>#NUM!</v>
      </c>
      <c r="B64" s="126" t="e">
        <f>IF(A64="","",VLOOKUP(A64,'TAKIM KAYIT'!$A$6:$O$1250,3,0))</f>
        <v>#NUM!</v>
      </c>
      <c r="C64" s="127" t="e">
        <f>IF(A64="","",VLOOKUP(A64,'TAKIM KAYIT'!$B$6:$O$125,3,FALSE))</f>
        <v>#NUM!</v>
      </c>
      <c r="D64" s="128">
        <f>IF(ISERROR(VLOOKUP($C64,'START LİSTE'!$B$6:$F$1025,2,0)),"",VLOOKUP($C64,'START LİSTE'!$B$6:$F$1025,2,0))</f>
      </c>
      <c r="E64" s="129">
        <f>IF(ISERROR(VLOOKUP($C64,'START LİSTE'!$B$6:$F$1025,4,0)),"",VLOOKUP($C64,'START LİSTE'!$B$6:$F$1025,4,0))</f>
      </c>
      <c r="F64" s="130">
        <f>IF(ISERROR(VLOOKUP($C64,'FERDİ SONUÇ'!$B$6:$H$1069,6,0)),"",VLOOKUP($C64,'FERDİ SONUÇ'!$B$6:$H$1069,6,0))</f>
      </c>
      <c r="G64" s="131" t="str">
        <f>IF(OR(E64="",F64="DQ",F64="DNF",F64="DNS",F64=""),"-",VLOOKUP(C64,'FERDİ SONUÇ'!$B$6:$H$1069,7,0))</f>
        <v>-</v>
      </c>
      <c r="H64" s="143" t="e">
        <f>IF(A64="","",VLOOKUP(A64,'TAKIM KAYIT'!$A$6:$T$1250,11,0))</f>
        <v>#NUM!</v>
      </c>
      <c r="I64" s="143" t="e">
        <f>IF(A64="","",VLOOKUP(A64,'TAKIM KAYIT'!$A$6:$T$1250,12,0))</f>
        <v>#NUM!</v>
      </c>
      <c r="J64" s="110" t="e">
        <f>IF(A64="","",VLOOKUP(A64,'TAKIM KAYIT'!$A$6:$T$1250,13,0))</f>
        <v>#NUM!</v>
      </c>
      <c r="K64" s="143" t="e">
        <f>IF(A64="","",VLOOKUP(A64,'TAKIM KAYIT'!$A$6:$T$1250,15,0))</f>
        <v>#NUM!</v>
      </c>
    </row>
    <row r="65" spans="1:11" ht="14.25">
      <c r="A65" s="125"/>
      <c r="B65" s="126"/>
      <c r="C65" s="127" t="e">
        <f>IF(A64="","",INDEX('TAKIM KAYIT'!$D$6:$D$125,MATCH(C64,'TAKIM KAYIT'!$D$6:$D$125,0)+1))</f>
        <v>#NUM!</v>
      </c>
      <c r="D65" s="128">
        <f>IF(ISERROR(VLOOKUP($C65,'START LİSTE'!$B$6:$F$1025,2,0)),"",VLOOKUP($C65,'START LİSTE'!$B$6:$F$1025,2,0))</f>
      </c>
      <c r="E65" s="129">
        <f>IF(ISERROR(VLOOKUP($C65,'START LİSTE'!$B$6:$F$1025,4,0)),"",VLOOKUP($C65,'START LİSTE'!$B$6:$F$1025,4,0))</f>
      </c>
      <c r="F65" s="130">
        <f>IF(ISERROR(VLOOKUP($C65,'FERDİ SONUÇ'!$B$6:$H$1069,6,0)),"",VLOOKUP($C65,'FERDİ SONUÇ'!$B$6:$H$1069,6,0))</f>
      </c>
      <c r="G65" s="131" t="str">
        <f>IF(OR(E65="",F65="DQ",F65="DNF",F65="DNS",F65=""),"-",VLOOKUP(C65,'FERDİ SONUÇ'!$B$6:$H$1069,7,0))</f>
        <v>-</v>
      </c>
      <c r="H65" s="151"/>
      <c r="I65" s="151"/>
      <c r="J65" s="151"/>
      <c r="K65" s="147"/>
    </row>
    <row r="66" spans="1:11" ht="14.25">
      <c r="A66" s="118"/>
      <c r="B66" s="119"/>
      <c r="C66" s="120" t="e">
        <f>IF(A68="","",INDEX('TAKIM KAYIT'!$D$6:$D$125,MATCH(C68,'TAKIM KAYIT'!$D$6:$D$125,0)-2))</f>
        <v>#NUM!</v>
      </c>
      <c r="D66" s="121">
        <f>IF(ISERROR(VLOOKUP($C66,'START LİSTE'!$B$6:$F$1025,2,0)),"",VLOOKUP($C66,'START LİSTE'!$B$6:$F$1025,2,0))</f>
      </c>
      <c r="E66" s="122">
        <f>IF(ISERROR(VLOOKUP($C66,'START LİSTE'!$B$6:$F$1025,4,0)),"",VLOOKUP($C66,'START LİSTE'!$B$6:$F$1025,4,0))</f>
      </c>
      <c r="F66" s="123">
        <f>IF(ISERROR(VLOOKUP($C66,'FERDİ SONUÇ'!$B$6:$H$1069,6,0)),"",VLOOKUP($C66,'FERDİ SONUÇ'!$B$6:$H$1069,6,0))</f>
      </c>
      <c r="G66" s="124" t="str">
        <f>IF(OR(E66="",F66="DQ",F66="DNF",F66="DNS",F66=""),"-",VLOOKUP(C66,'FERDİ SONUÇ'!$B$6:$H$1069,7,0))</f>
        <v>-</v>
      </c>
      <c r="H66" s="150"/>
      <c r="I66" s="150"/>
      <c r="J66" s="150"/>
      <c r="K66" s="146"/>
    </row>
    <row r="67" spans="1:11" ht="14.25">
      <c r="A67" s="125"/>
      <c r="B67" s="126"/>
      <c r="C67" s="127" t="e">
        <f>IF(A68="","",INDEX('TAKIM KAYIT'!$D$6:$D$125,MATCH(C68,'TAKIM KAYIT'!$D$6:$D$125,0)-1))</f>
        <v>#NUM!</v>
      </c>
      <c r="D67" s="128">
        <f>IF(ISERROR(VLOOKUP($C67,'START LİSTE'!$B$6:$F$1025,2,0)),"",VLOOKUP($C67,'START LİSTE'!$B$6:$F$1025,2,0))</f>
      </c>
      <c r="E67" s="129">
        <f>IF(ISERROR(VLOOKUP($C67,'START LİSTE'!$B$6:$F$1025,4,0)),"",VLOOKUP($C67,'START LİSTE'!$B$6:$F$1025,4,0))</f>
      </c>
      <c r="F67" s="130">
        <f>IF(ISERROR(VLOOKUP($C67,'FERDİ SONUÇ'!$B$6:$H$1069,6,0)),"",VLOOKUP($C67,'FERDİ SONUÇ'!$B$6:$H$1069,6,0))</f>
      </c>
      <c r="G67" s="131" t="str">
        <f>IF(OR(E67="",F67="DQ",F67="DNF",F67="DNS",F67=""),"-",VLOOKUP(C67,'FERDİ SONUÇ'!$B$6:$H$1069,7,0))</f>
        <v>-</v>
      </c>
      <c r="H67" s="151"/>
      <c r="I67" s="151"/>
      <c r="J67" s="151"/>
      <c r="K67" s="147"/>
    </row>
    <row r="68" spans="1:11" ht="15.75">
      <c r="A68" s="125" t="e">
        <f>IF(ISERROR(SMALL('TAKIM KAYIT'!$A$6:$A$125,1)),"",SMALL('TAKIM KAYIT'!$A$6:$A$125,16))</f>
        <v>#NUM!</v>
      </c>
      <c r="B68" s="126" t="e">
        <f>IF(A68="","",VLOOKUP(A68,'TAKIM KAYIT'!$A$6:$O$1250,3,0))</f>
        <v>#NUM!</v>
      </c>
      <c r="C68" s="127" t="e">
        <f>IF(A68="","",VLOOKUP(A68,'TAKIM KAYIT'!$B$6:$O$125,3,FALSE))</f>
        <v>#NUM!</v>
      </c>
      <c r="D68" s="128">
        <f>IF(ISERROR(VLOOKUP($C68,'START LİSTE'!$B$6:$F$1025,2,0)),"",VLOOKUP($C68,'START LİSTE'!$B$6:$F$1025,2,0))</f>
      </c>
      <c r="E68" s="129">
        <f>IF(ISERROR(VLOOKUP($C68,'START LİSTE'!$B$6:$F$1025,4,0)),"",VLOOKUP($C68,'START LİSTE'!$B$6:$F$1025,4,0))</f>
      </c>
      <c r="F68" s="130">
        <f>IF(ISERROR(VLOOKUP($C68,'FERDİ SONUÇ'!$B$6:$H$1069,6,0)),"",VLOOKUP($C68,'FERDİ SONUÇ'!$B$6:$H$1069,6,0))</f>
      </c>
      <c r="G68" s="131" t="str">
        <f>IF(OR(E68="",F68="DQ",F68="DNF",F68="DNS",F68=""),"-",VLOOKUP(C68,'FERDİ SONUÇ'!$B$6:$H$1069,7,0))</f>
        <v>-</v>
      </c>
      <c r="H68" s="143" t="e">
        <f>IF(A68="","",VLOOKUP(A68,'TAKIM KAYIT'!$A$6:$T$1250,11,0))</f>
        <v>#NUM!</v>
      </c>
      <c r="I68" s="143" t="e">
        <f>IF(A68="","",VLOOKUP(A68,'TAKIM KAYIT'!$A$6:$T$1250,12,0))</f>
        <v>#NUM!</v>
      </c>
      <c r="J68" s="110" t="e">
        <f>IF(A68="","",VLOOKUP(A68,'TAKIM KAYIT'!$A$6:$T$1250,13,0))</f>
        <v>#NUM!</v>
      </c>
      <c r="K68" s="143" t="e">
        <f>IF(A68="","",VLOOKUP(A68,'TAKIM KAYIT'!$A$6:$T$1250,15,0))</f>
        <v>#NUM!</v>
      </c>
    </row>
    <row r="69" spans="1:11" ht="14.25">
      <c r="A69" s="125"/>
      <c r="B69" s="126"/>
      <c r="C69" s="127" t="e">
        <f>IF(A68="","",INDEX('TAKIM KAYIT'!$D$6:$D$125,MATCH(C68,'TAKIM KAYIT'!$D$6:$D$125,0)+1))</f>
        <v>#NUM!</v>
      </c>
      <c r="D69" s="128">
        <f>IF(ISERROR(VLOOKUP($C69,'START LİSTE'!$B$6:$F$1025,2,0)),"",VLOOKUP($C69,'START LİSTE'!$B$6:$F$1025,2,0))</f>
      </c>
      <c r="E69" s="129">
        <f>IF(ISERROR(VLOOKUP($C69,'START LİSTE'!$B$6:$F$1025,4,0)),"",VLOOKUP($C69,'START LİSTE'!$B$6:$F$1025,4,0))</f>
      </c>
      <c r="F69" s="130">
        <f>IF(ISERROR(VLOOKUP($C69,'FERDİ SONUÇ'!$B$6:$H$1069,6,0)),"",VLOOKUP($C69,'FERDİ SONUÇ'!$B$6:$H$1069,6,0))</f>
      </c>
      <c r="G69" s="131" t="str">
        <f>IF(OR(E69="",F69="DQ",F69="DNF",F69="DNS",F69=""),"-",VLOOKUP(C69,'FERDİ SONUÇ'!$B$6:$H$1069,7,0))</f>
        <v>-</v>
      </c>
      <c r="H69" s="151"/>
      <c r="I69" s="151"/>
      <c r="J69" s="151"/>
      <c r="K69" s="147"/>
    </row>
    <row r="70" spans="1:11" ht="14.25">
      <c r="A70" s="118"/>
      <c r="B70" s="119"/>
      <c r="C70" s="120" t="e">
        <f>IF(A72="","",INDEX('TAKIM KAYIT'!$D$6:$D$125,MATCH(C72,'TAKIM KAYIT'!$D$6:$D$125,0)-2))</f>
        <v>#NUM!</v>
      </c>
      <c r="D70" s="121">
        <f>IF(ISERROR(VLOOKUP($C70,'START LİSTE'!$B$6:$F$1025,2,0)),"",VLOOKUP($C70,'START LİSTE'!$B$6:$F$1025,2,0))</f>
      </c>
      <c r="E70" s="122">
        <f>IF(ISERROR(VLOOKUP($C70,'START LİSTE'!$B$6:$F$1025,4,0)),"",VLOOKUP($C70,'START LİSTE'!$B$6:$F$1025,4,0))</f>
      </c>
      <c r="F70" s="123">
        <f>IF(ISERROR(VLOOKUP($C70,'FERDİ SONUÇ'!$B$6:$H$1069,6,0)),"",VLOOKUP($C70,'FERDİ SONUÇ'!$B$6:$H$1069,6,0))</f>
      </c>
      <c r="G70" s="124" t="str">
        <f>IF(OR(E70="",F70="DQ",F70="DNF",F70="DNS",F70=""),"-",VLOOKUP(C70,'FERDİ SONUÇ'!$B$6:$H$1069,7,0))</f>
        <v>-</v>
      </c>
      <c r="H70" s="150"/>
      <c r="I70" s="150"/>
      <c r="J70" s="150"/>
      <c r="K70" s="146"/>
    </row>
    <row r="71" spans="1:11" ht="14.25">
      <c r="A71" s="125"/>
      <c r="B71" s="126"/>
      <c r="C71" s="127" t="e">
        <f>IF(A72="","",INDEX('TAKIM KAYIT'!$D$6:$D$125,MATCH(C72,'TAKIM KAYIT'!$D$6:$D$125,0)-1))</f>
        <v>#NUM!</v>
      </c>
      <c r="D71" s="128">
        <f>IF(ISERROR(VLOOKUP($C71,'START LİSTE'!$B$6:$F$1025,2,0)),"",VLOOKUP($C71,'START LİSTE'!$B$6:$F$1025,2,0))</f>
      </c>
      <c r="E71" s="129">
        <f>IF(ISERROR(VLOOKUP($C71,'START LİSTE'!$B$6:$F$1025,4,0)),"",VLOOKUP($C71,'START LİSTE'!$B$6:$F$1025,4,0))</f>
      </c>
      <c r="F71" s="130">
        <f>IF(ISERROR(VLOOKUP($C71,'FERDİ SONUÇ'!$B$6:$H$1069,6,0)),"",VLOOKUP($C71,'FERDİ SONUÇ'!$B$6:$H$1069,6,0))</f>
      </c>
      <c r="G71" s="131" t="str">
        <f>IF(OR(E71="",F71="DQ",F71="DNF",F71="DNS",F71=""),"-",VLOOKUP(C71,'FERDİ SONUÇ'!$B$6:$H$1069,7,0))</f>
        <v>-</v>
      </c>
      <c r="H71" s="151"/>
      <c r="I71" s="151"/>
      <c r="J71" s="151"/>
      <c r="K71" s="147"/>
    </row>
    <row r="72" spans="1:11" ht="15.75">
      <c r="A72" s="125" t="e">
        <f>IF(ISERROR(SMALL('TAKIM KAYIT'!$A$6:$A$125,1)),"",SMALL('TAKIM KAYIT'!$A$6:$A$125,17))</f>
        <v>#NUM!</v>
      </c>
      <c r="B72" s="126" t="e">
        <f>IF(A72="","",VLOOKUP(A72,'TAKIM KAYIT'!$A$6:$O$1250,3,0))</f>
        <v>#NUM!</v>
      </c>
      <c r="C72" s="127" t="e">
        <f>IF(A72="","",VLOOKUP(A72,'TAKIM KAYIT'!$B$6:$O$125,3,FALSE))</f>
        <v>#NUM!</v>
      </c>
      <c r="D72" s="128">
        <f>IF(ISERROR(VLOOKUP($C72,'START LİSTE'!$B$6:$F$1025,2,0)),"",VLOOKUP($C72,'START LİSTE'!$B$6:$F$1025,2,0))</f>
      </c>
      <c r="E72" s="129">
        <f>IF(ISERROR(VLOOKUP($C72,'START LİSTE'!$B$6:$F$1025,4,0)),"",VLOOKUP($C72,'START LİSTE'!$B$6:$F$1025,4,0))</f>
      </c>
      <c r="F72" s="130">
        <f>IF(ISERROR(VLOOKUP($C72,'FERDİ SONUÇ'!$B$6:$H$1069,6,0)),"",VLOOKUP($C72,'FERDİ SONUÇ'!$B$6:$H$1069,6,0))</f>
      </c>
      <c r="G72" s="131" t="str">
        <f>IF(OR(E72="",F72="DQ",F72="DNF",F72="DNS",F72=""),"-",VLOOKUP(C72,'FERDİ SONUÇ'!$B$6:$H$1069,7,0))</f>
        <v>-</v>
      </c>
      <c r="H72" s="143" t="e">
        <f>IF(A72="","",VLOOKUP(A72,'TAKIM KAYIT'!$A$6:$T$1250,11,0))</f>
        <v>#NUM!</v>
      </c>
      <c r="I72" s="143" t="e">
        <f>IF(A72="","",VLOOKUP(A72,'TAKIM KAYIT'!$A$6:$T$1250,12,0))</f>
        <v>#NUM!</v>
      </c>
      <c r="J72" s="110" t="e">
        <f>IF(A72="","",VLOOKUP(A72,'TAKIM KAYIT'!$A$6:$T$1250,13,0))</f>
        <v>#NUM!</v>
      </c>
      <c r="K72" s="143" t="e">
        <f>IF(A72="","",VLOOKUP(A72,'TAKIM KAYIT'!$A$6:$T$1250,15,0))</f>
        <v>#NUM!</v>
      </c>
    </row>
    <row r="73" spans="1:11" ht="14.25">
      <c r="A73" s="125"/>
      <c r="B73" s="126"/>
      <c r="C73" s="127" t="e">
        <f>IF(A72="","",INDEX('TAKIM KAYIT'!$D$6:$D$125,MATCH(C72,'TAKIM KAYIT'!$D$6:$D$125,0)+1))</f>
        <v>#NUM!</v>
      </c>
      <c r="D73" s="128">
        <f>IF(ISERROR(VLOOKUP($C73,'START LİSTE'!$B$6:$F$1025,2,0)),"",VLOOKUP($C73,'START LİSTE'!$B$6:$F$1025,2,0))</f>
      </c>
      <c r="E73" s="129">
        <f>IF(ISERROR(VLOOKUP($C73,'START LİSTE'!$B$6:$F$1025,4,0)),"",VLOOKUP($C73,'START LİSTE'!$B$6:$F$1025,4,0))</f>
      </c>
      <c r="F73" s="130">
        <f>IF(ISERROR(VLOOKUP($C73,'FERDİ SONUÇ'!$B$6:$H$1069,6,0)),"",VLOOKUP($C73,'FERDİ SONUÇ'!$B$6:$H$1069,6,0))</f>
      </c>
      <c r="G73" s="131" t="str">
        <f>IF(OR(E73="",F73="DQ",F73="DNF",F73="DNS",F73=""),"-",VLOOKUP(C73,'FERDİ SONUÇ'!$B$6:$H$1069,7,0))</f>
        <v>-</v>
      </c>
      <c r="H73" s="151"/>
      <c r="I73" s="151"/>
      <c r="J73" s="151"/>
      <c r="K73" s="147"/>
    </row>
    <row r="74" spans="1:11" ht="14.25">
      <c r="A74" s="118"/>
      <c r="B74" s="119"/>
      <c r="C74" s="120" t="e">
        <f>IF(A76="","",INDEX('TAKIM KAYIT'!$D$6:$D$125,MATCH(C76,'TAKIM KAYIT'!$D$6:$D$125,0)-2))</f>
        <v>#NUM!</v>
      </c>
      <c r="D74" s="121">
        <f>IF(ISERROR(VLOOKUP($C74,'START LİSTE'!$B$6:$F$1025,2,0)),"",VLOOKUP($C74,'START LİSTE'!$B$6:$F$1025,2,0))</f>
      </c>
      <c r="E74" s="122">
        <f>IF(ISERROR(VLOOKUP($C74,'START LİSTE'!$B$6:$F$1025,4,0)),"",VLOOKUP($C74,'START LİSTE'!$B$6:$F$1025,4,0))</f>
      </c>
      <c r="F74" s="123">
        <f>IF(ISERROR(VLOOKUP($C74,'FERDİ SONUÇ'!$B$6:$H$1069,6,0)),"",VLOOKUP($C74,'FERDİ SONUÇ'!$B$6:$H$1069,6,0))</f>
      </c>
      <c r="G74" s="124" t="str">
        <f>IF(OR(E74="",F74="DQ",F74="DNF",F74="DNS",F74=""),"-",VLOOKUP(C74,'FERDİ SONUÇ'!$B$6:$H$1069,7,0))</f>
        <v>-</v>
      </c>
      <c r="H74" s="150"/>
      <c r="I74" s="150"/>
      <c r="J74" s="150"/>
      <c r="K74" s="146"/>
    </row>
    <row r="75" spans="1:11" ht="14.25">
      <c r="A75" s="125"/>
      <c r="B75" s="126"/>
      <c r="C75" s="127" t="e">
        <f>IF(A76="","",INDEX('TAKIM KAYIT'!$D$6:$D$125,MATCH(C76,'TAKIM KAYIT'!$D$6:$D$125,0)-1))</f>
        <v>#NUM!</v>
      </c>
      <c r="D75" s="128">
        <f>IF(ISERROR(VLOOKUP($C75,'START LİSTE'!$B$6:$F$1025,2,0)),"",VLOOKUP($C75,'START LİSTE'!$B$6:$F$1025,2,0))</f>
      </c>
      <c r="E75" s="129">
        <f>IF(ISERROR(VLOOKUP($C75,'START LİSTE'!$B$6:$F$1025,4,0)),"",VLOOKUP($C75,'START LİSTE'!$B$6:$F$1025,4,0))</f>
      </c>
      <c r="F75" s="130">
        <f>IF(ISERROR(VLOOKUP($C75,'FERDİ SONUÇ'!$B$6:$H$1069,6,0)),"",VLOOKUP($C75,'FERDİ SONUÇ'!$B$6:$H$1069,6,0))</f>
      </c>
      <c r="G75" s="131" t="str">
        <f>IF(OR(E75="",F75="DQ",F75="DNF",F75="DNS",F75=""),"-",VLOOKUP(C75,'FERDİ SONUÇ'!$B$6:$H$1069,7,0))</f>
        <v>-</v>
      </c>
      <c r="H75" s="151"/>
      <c r="I75" s="151"/>
      <c r="J75" s="151"/>
      <c r="K75" s="147"/>
    </row>
    <row r="76" spans="1:11" ht="15.75">
      <c r="A76" s="125" t="e">
        <f>IF(ISERROR(SMALL('TAKIM KAYIT'!$A$6:$A$125,1)),"",SMALL('TAKIM KAYIT'!$A$6:$A$125,18))</f>
        <v>#NUM!</v>
      </c>
      <c r="B76" s="126" t="e">
        <f>IF(A76="","",VLOOKUP(A76,'TAKIM KAYIT'!$A$6:$O$1250,3,0))</f>
        <v>#NUM!</v>
      </c>
      <c r="C76" s="127" t="e">
        <f>IF(A76="","",VLOOKUP(A76,'TAKIM KAYIT'!$B$6:$O$125,3,FALSE))</f>
        <v>#NUM!</v>
      </c>
      <c r="D76" s="128">
        <f>IF(ISERROR(VLOOKUP($C76,'START LİSTE'!$B$6:$F$1025,2,0)),"",VLOOKUP($C76,'START LİSTE'!$B$6:$F$1025,2,0))</f>
      </c>
      <c r="E76" s="129">
        <f>IF(ISERROR(VLOOKUP($C76,'START LİSTE'!$B$6:$F$1025,4,0)),"",VLOOKUP($C76,'START LİSTE'!$B$6:$F$1025,4,0))</f>
      </c>
      <c r="F76" s="130">
        <f>IF(ISERROR(VLOOKUP($C76,'FERDİ SONUÇ'!$B$6:$H$1069,6,0)),"",VLOOKUP($C76,'FERDİ SONUÇ'!$B$6:$H$1069,6,0))</f>
      </c>
      <c r="G76" s="131" t="str">
        <f>IF(OR(E76="",F76="DQ",F76="DNF",F76="DNS",F76=""),"-",VLOOKUP(C76,'FERDİ SONUÇ'!$B$6:$H$1069,7,0))</f>
        <v>-</v>
      </c>
      <c r="H76" s="143" t="e">
        <f>IF(A76="","",VLOOKUP(A76,'TAKIM KAYIT'!$A$6:$T$1250,11,0))</f>
        <v>#NUM!</v>
      </c>
      <c r="I76" s="143" t="e">
        <f>IF(A76="","",VLOOKUP(A76,'TAKIM KAYIT'!$A$6:$T$1250,12,0))</f>
        <v>#NUM!</v>
      </c>
      <c r="J76" s="110" t="e">
        <f>IF(A76="","",VLOOKUP(A76,'TAKIM KAYIT'!$A$6:$T$1250,13,0))</f>
        <v>#NUM!</v>
      </c>
      <c r="K76" s="143" t="e">
        <f>IF(A76="","",VLOOKUP(A76,'TAKIM KAYIT'!$A$6:$T$1250,15,0))</f>
        <v>#NUM!</v>
      </c>
    </row>
    <row r="77" spans="1:11" ht="14.25">
      <c r="A77" s="125"/>
      <c r="B77" s="126"/>
      <c r="C77" s="127" t="e">
        <f>IF(A76="","",INDEX('TAKIM KAYIT'!$D$6:$D$125,MATCH(C76,'TAKIM KAYIT'!$D$6:$D$125,0)+1))</f>
        <v>#NUM!</v>
      </c>
      <c r="D77" s="128">
        <f>IF(ISERROR(VLOOKUP($C77,'START LİSTE'!$B$6:$F$1025,2,0)),"",VLOOKUP($C77,'START LİSTE'!$B$6:$F$1025,2,0))</f>
      </c>
      <c r="E77" s="129">
        <f>IF(ISERROR(VLOOKUP($C77,'START LİSTE'!$B$6:$F$1025,4,0)),"",VLOOKUP($C77,'START LİSTE'!$B$6:$F$1025,4,0))</f>
      </c>
      <c r="F77" s="130">
        <f>IF(ISERROR(VLOOKUP($C77,'FERDİ SONUÇ'!$B$6:$H$1069,6,0)),"",VLOOKUP($C77,'FERDİ SONUÇ'!$B$6:$H$1069,6,0))</f>
      </c>
      <c r="G77" s="131" t="str">
        <f>IF(OR(E77="",F77="DQ",F77="DNF",F77="DNS",F77=""),"-",VLOOKUP(C77,'FERDİ SONUÇ'!$B$6:$H$1069,7,0))</f>
        <v>-</v>
      </c>
      <c r="H77" s="151"/>
      <c r="I77" s="151"/>
      <c r="J77" s="151"/>
      <c r="K77" s="147"/>
    </row>
    <row r="78" spans="1:11" ht="14.25">
      <c r="A78" s="118"/>
      <c r="B78" s="119"/>
      <c r="C78" s="120" t="e">
        <f>IF(A80="","",INDEX('TAKIM KAYIT'!$D$6:$D$125,MATCH(C80,'TAKIM KAYIT'!$D$6:$D$125,0)-2))</f>
        <v>#NUM!</v>
      </c>
      <c r="D78" s="121">
        <f>IF(ISERROR(VLOOKUP($C78,'START LİSTE'!$B$6:$F$1025,2,0)),"",VLOOKUP($C78,'START LİSTE'!$B$6:$F$1025,2,0))</f>
      </c>
      <c r="E78" s="122">
        <f>IF(ISERROR(VLOOKUP($C78,'START LİSTE'!$B$6:$F$1025,4,0)),"",VLOOKUP($C78,'START LİSTE'!$B$6:$F$1025,4,0))</f>
      </c>
      <c r="F78" s="123">
        <f>IF(ISERROR(VLOOKUP($C78,'FERDİ SONUÇ'!$B$6:$H$1069,6,0)),"",VLOOKUP($C78,'FERDİ SONUÇ'!$B$6:$H$1069,6,0))</f>
      </c>
      <c r="G78" s="124" t="str">
        <f>IF(OR(E78="",F78="DQ",F78="DNF",F78="DNS",F78=""),"-",VLOOKUP(C78,'FERDİ SONUÇ'!$B$6:$H$1069,7,0))</f>
        <v>-</v>
      </c>
      <c r="H78" s="150"/>
      <c r="I78" s="150"/>
      <c r="J78" s="150"/>
      <c r="K78" s="146"/>
    </row>
    <row r="79" spans="1:11" ht="14.25">
      <c r="A79" s="125"/>
      <c r="B79" s="126"/>
      <c r="C79" s="127" t="e">
        <f>IF(A80="","",INDEX('TAKIM KAYIT'!$D$6:$D$125,MATCH(C80,'TAKIM KAYIT'!$D$6:$D$125,0)-1))</f>
        <v>#NUM!</v>
      </c>
      <c r="D79" s="128">
        <f>IF(ISERROR(VLOOKUP($C79,'START LİSTE'!$B$6:$F$1025,2,0)),"",VLOOKUP($C79,'START LİSTE'!$B$6:$F$1025,2,0))</f>
      </c>
      <c r="E79" s="129">
        <f>IF(ISERROR(VLOOKUP($C79,'START LİSTE'!$B$6:$F$1025,4,0)),"",VLOOKUP($C79,'START LİSTE'!$B$6:$F$1025,4,0))</f>
      </c>
      <c r="F79" s="130">
        <f>IF(ISERROR(VLOOKUP($C79,'FERDİ SONUÇ'!$B$6:$H$1069,6,0)),"",VLOOKUP($C79,'FERDİ SONUÇ'!$B$6:$H$1069,6,0))</f>
      </c>
      <c r="G79" s="131" t="str">
        <f>IF(OR(E79="",F79="DQ",F79="DNF",F79="DNS",F79=""),"-",VLOOKUP(C79,'FERDİ SONUÇ'!$B$6:$H$1069,7,0))</f>
        <v>-</v>
      </c>
      <c r="H79" s="151"/>
      <c r="I79" s="151"/>
      <c r="J79" s="151"/>
      <c r="K79" s="147"/>
    </row>
    <row r="80" spans="1:11" ht="15.75">
      <c r="A80" s="125" t="e">
        <f>IF(ISERROR(SMALL('TAKIM KAYIT'!$A$6:$A$125,1)),"",SMALL('TAKIM KAYIT'!$A$6:$A$125,19))</f>
        <v>#NUM!</v>
      </c>
      <c r="B80" s="126" t="e">
        <f>IF(A80="","",VLOOKUP(A80,'TAKIM KAYIT'!$A$6:$O$1250,3,0))</f>
        <v>#NUM!</v>
      </c>
      <c r="C80" s="127" t="e">
        <f>IF(A80="","",VLOOKUP(A80,'TAKIM KAYIT'!$B$6:$O$125,3,FALSE))</f>
        <v>#NUM!</v>
      </c>
      <c r="D80" s="128">
        <f>IF(ISERROR(VLOOKUP($C80,'START LİSTE'!$B$6:$F$1025,2,0)),"",VLOOKUP($C80,'START LİSTE'!$B$6:$F$1025,2,0))</f>
      </c>
      <c r="E80" s="129">
        <f>IF(ISERROR(VLOOKUP($C80,'START LİSTE'!$B$6:$F$1025,4,0)),"",VLOOKUP($C80,'START LİSTE'!$B$6:$F$1025,4,0))</f>
      </c>
      <c r="F80" s="130">
        <f>IF(ISERROR(VLOOKUP($C80,'FERDİ SONUÇ'!$B$6:$H$1069,6,0)),"",VLOOKUP($C80,'FERDİ SONUÇ'!$B$6:$H$1069,6,0))</f>
      </c>
      <c r="G80" s="131" t="str">
        <f>IF(OR(E80="",F80="DQ",F80="DNF",F80="DNS",F80=""),"-",VLOOKUP(C80,'FERDİ SONUÇ'!$B$6:$H$1069,7,0))</f>
        <v>-</v>
      </c>
      <c r="H80" s="143" t="e">
        <f>IF(A80="","",VLOOKUP(A80,'TAKIM KAYIT'!$A$6:$T$1250,11,0))</f>
        <v>#NUM!</v>
      </c>
      <c r="I80" s="143" t="e">
        <f>IF(A80="","",VLOOKUP(A80,'TAKIM KAYIT'!$A$6:$T$1250,12,0))</f>
        <v>#NUM!</v>
      </c>
      <c r="J80" s="110" t="e">
        <f>IF(A80="","",VLOOKUP(A80,'TAKIM KAYIT'!$A$6:$T$1250,13,0))</f>
        <v>#NUM!</v>
      </c>
      <c r="K80" s="143" t="e">
        <f>IF(A80="","",VLOOKUP(A80,'TAKIM KAYIT'!$A$6:$T$1250,15,0))</f>
        <v>#NUM!</v>
      </c>
    </row>
    <row r="81" spans="1:11" ht="14.25">
      <c r="A81" s="125"/>
      <c r="B81" s="126"/>
      <c r="C81" s="127" t="e">
        <f>IF(A80="","",INDEX('TAKIM KAYIT'!$D$6:$D$125,MATCH(C80,'TAKIM KAYIT'!$D$6:$D$125,0)+1))</f>
        <v>#NUM!</v>
      </c>
      <c r="D81" s="128">
        <f>IF(ISERROR(VLOOKUP($C81,'START LİSTE'!$B$6:$F$1025,2,0)),"",VLOOKUP($C81,'START LİSTE'!$B$6:$F$1025,2,0))</f>
      </c>
      <c r="E81" s="129">
        <f>IF(ISERROR(VLOOKUP($C81,'START LİSTE'!$B$6:$F$1025,4,0)),"",VLOOKUP($C81,'START LİSTE'!$B$6:$F$1025,4,0))</f>
      </c>
      <c r="F81" s="130">
        <f>IF(ISERROR(VLOOKUP($C81,'FERDİ SONUÇ'!$B$6:$H$1069,6,0)),"",VLOOKUP($C81,'FERDİ SONUÇ'!$B$6:$H$1069,6,0))</f>
      </c>
      <c r="G81" s="131" t="str">
        <f>IF(OR(E81="",F81="DQ",F81="DNF",F81="DNS",F81=""),"-",VLOOKUP(C81,'FERDİ SONUÇ'!$B$6:$H$1069,7,0))</f>
        <v>-</v>
      </c>
      <c r="H81" s="151"/>
      <c r="I81" s="151"/>
      <c r="J81" s="151"/>
      <c r="K81" s="147"/>
    </row>
    <row r="82" spans="1:11" ht="14.25">
      <c r="A82" s="118"/>
      <c r="B82" s="119"/>
      <c r="C82" s="120" t="e">
        <f>IF(A84="","",INDEX('TAKIM KAYIT'!$D$6:$D$125,MATCH(C84,'TAKIM KAYIT'!$D$6:$D$125,0)-2))</f>
        <v>#NUM!</v>
      </c>
      <c r="D82" s="121">
        <f>IF(ISERROR(VLOOKUP($C82,'START LİSTE'!$B$6:$F$1025,2,0)),"",VLOOKUP($C82,'START LİSTE'!$B$6:$F$1025,2,0))</f>
      </c>
      <c r="E82" s="122">
        <f>IF(ISERROR(VLOOKUP($C82,'START LİSTE'!$B$6:$F$1025,4,0)),"",VLOOKUP($C82,'START LİSTE'!$B$6:$F$1025,4,0))</f>
      </c>
      <c r="F82" s="123">
        <f>IF(ISERROR(VLOOKUP($C82,'FERDİ SONUÇ'!$B$6:$H$1069,6,0)),"",VLOOKUP($C82,'FERDİ SONUÇ'!$B$6:$H$1069,6,0))</f>
      </c>
      <c r="G82" s="124" t="str">
        <f>IF(OR(E82="",F82="DQ",F82="DNF",F82="DNS",F82=""),"-",VLOOKUP(C82,'FERDİ SONUÇ'!$B$6:$H$1069,7,0))</f>
        <v>-</v>
      </c>
      <c r="H82" s="150"/>
      <c r="I82" s="150"/>
      <c r="J82" s="150"/>
      <c r="K82" s="146"/>
    </row>
    <row r="83" spans="1:11" ht="14.25">
      <c r="A83" s="125"/>
      <c r="B83" s="126"/>
      <c r="C83" s="127" t="e">
        <f>IF(A84="","",INDEX('TAKIM KAYIT'!$D$6:$D$125,MATCH(C84,'TAKIM KAYIT'!$D$6:$D$125,0)-1))</f>
        <v>#NUM!</v>
      </c>
      <c r="D83" s="128">
        <f>IF(ISERROR(VLOOKUP($C83,'START LİSTE'!$B$6:$F$1025,2,0)),"",VLOOKUP($C83,'START LİSTE'!$B$6:$F$1025,2,0))</f>
      </c>
      <c r="E83" s="129">
        <f>IF(ISERROR(VLOOKUP($C83,'START LİSTE'!$B$6:$F$1025,4,0)),"",VLOOKUP($C83,'START LİSTE'!$B$6:$F$1025,4,0))</f>
      </c>
      <c r="F83" s="130">
        <f>IF(ISERROR(VLOOKUP($C83,'FERDİ SONUÇ'!$B$6:$H$1069,6,0)),"",VLOOKUP($C83,'FERDİ SONUÇ'!$B$6:$H$1069,6,0))</f>
      </c>
      <c r="G83" s="131" t="str">
        <f>IF(OR(E83="",F83="DQ",F83="DNF",F83="DNS",F83=""),"-",VLOOKUP(C83,'FERDİ SONUÇ'!$B$6:$H$1069,7,0))</f>
        <v>-</v>
      </c>
      <c r="H83" s="151"/>
      <c r="I83" s="151"/>
      <c r="J83" s="151"/>
      <c r="K83" s="147"/>
    </row>
    <row r="84" spans="1:11" ht="15.75">
      <c r="A84" s="125" t="e">
        <f>IF(ISERROR(SMALL('TAKIM KAYIT'!$A$6:$A$125,1)),"",SMALL('TAKIM KAYIT'!$A$6:$A$125,20))</f>
        <v>#NUM!</v>
      </c>
      <c r="B84" s="126" t="e">
        <f>IF(A84="","",VLOOKUP(A84,'TAKIM KAYIT'!$A$6:$O$1250,3,0))</f>
        <v>#NUM!</v>
      </c>
      <c r="C84" s="127" t="e">
        <f>IF(A84="","",VLOOKUP(A84,'TAKIM KAYIT'!$B$6:$O$125,3,FALSE))</f>
        <v>#NUM!</v>
      </c>
      <c r="D84" s="128">
        <f>IF(ISERROR(VLOOKUP($C84,'START LİSTE'!$B$6:$F$1025,2,0)),"",VLOOKUP($C84,'START LİSTE'!$B$6:$F$1025,2,0))</f>
      </c>
      <c r="E84" s="129">
        <f>IF(ISERROR(VLOOKUP($C84,'START LİSTE'!$B$6:$F$1025,4,0)),"",VLOOKUP($C84,'START LİSTE'!$B$6:$F$1025,4,0))</f>
      </c>
      <c r="F84" s="130">
        <f>IF(ISERROR(VLOOKUP($C84,'FERDİ SONUÇ'!$B$6:$H$1069,6,0)),"",VLOOKUP($C84,'FERDİ SONUÇ'!$B$6:$H$1069,6,0))</f>
      </c>
      <c r="G84" s="131" t="str">
        <f>IF(OR(E84="",F84="DQ",F84="DNF",F84="DNS",F84=""),"-",VLOOKUP(C84,'FERDİ SONUÇ'!$B$6:$H$1069,7,0))</f>
        <v>-</v>
      </c>
      <c r="H84" s="143" t="e">
        <f>IF(A84="","",VLOOKUP(A84,'TAKIM KAYIT'!$A$6:$T$1250,11,0))</f>
        <v>#NUM!</v>
      </c>
      <c r="I84" s="143" t="e">
        <f>IF(A84="","",VLOOKUP(A84,'TAKIM KAYIT'!$A$6:$T$1250,12,0))</f>
        <v>#NUM!</v>
      </c>
      <c r="J84" s="110" t="e">
        <f>IF(A84="","",VLOOKUP(A84,'TAKIM KAYIT'!$A$6:$T$1250,13,0))</f>
        <v>#NUM!</v>
      </c>
      <c r="K84" s="143" t="e">
        <f>IF(A84="","",VLOOKUP(A84,'TAKIM KAYIT'!$A$6:$T$1250,15,0))</f>
        <v>#NUM!</v>
      </c>
    </row>
    <row r="85" spans="1:11" ht="14.25">
      <c r="A85" s="125"/>
      <c r="B85" s="126"/>
      <c r="C85" s="127" t="e">
        <f>IF(A84="","",INDEX('TAKIM KAYIT'!$D$6:$D$125,MATCH(C84,'TAKIM KAYIT'!$D$6:$D$125,0)+1))</f>
        <v>#NUM!</v>
      </c>
      <c r="D85" s="128">
        <f>IF(ISERROR(VLOOKUP($C85,'START LİSTE'!$B$6:$F$1025,2,0)),"",VLOOKUP($C85,'START LİSTE'!$B$6:$F$1025,2,0))</f>
      </c>
      <c r="E85" s="129">
        <f>IF(ISERROR(VLOOKUP($C85,'START LİSTE'!$B$6:$F$1025,4,0)),"",VLOOKUP($C85,'START LİSTE'!$B$6:$F$1025,4,0))</f>
      </c>
      <c r="F85" s="130">
        <f>IF(ISERROR(VLOOKUP($C85,'FERDİ SONUÇ'!$B$6:$H$1069,6,0)),"",VLOOKUP($C85,'FERDİ SONUÇ'!$B$6:$H$1069,6,0))</f>
      </c>
      <c r="G85" s="131" t="str">
        <f>IF(OR(E85="",F85="DQ",F85="DNF",F85="DNS",F85=""),"-",VLOOKUP(C85,'FERDİ SONUÇ'!$B$6:$H$1069,7,0))</f>
        <v>-</v>
      </c>
      <c r="H85" s="151"/>
      <c r="I85" s="151"/>
      <c r="J85" s="151"/>
      <c r="K85" s="147"/>
    </row>
    <row r="86" spans="1:11" ht="14.25">
      <c r="A86" s="118"/>
      <c r="B86" s="119"/>
      <c r="C86" s="120" t="e">
        <f>IF(A88="","",INDEX('TAKIM KAYIT'!$D$6:$D$125,MATCH(C88,'TAKIM KAYIT'!$D$6:$D$125,0)-2))</f>
        <v>#NUM!</v>
      </c>
      <c r="D86" s="121">
        <f>IF(ISERROR(VLOOKUP($C86,'START LİSTE'!$B$6:$F$1025,2,0)),"",VLOOKUP($C86,'START LİSTE'!$B$6:$F$1025,2,0))</f>
      </c>
      <c r="E86" s="122">
        <f>IF(ISERROR(VLOOKUP($C86,'START LİSTE'!$B$6:$F$1025,4,0)),"",VLOOKUP($C86,'START LİSTE'!$B$6:$F$1025,4,0))</f>
      </c>
      <c r="F86" s="123">
        <f>IF(ISERROR(VLOOKUP($C86,'FERDİ SONUÇ'!$B$6:$H$1069,6,0)),"",VLOOKUP($C86,'FERDİ SONUÇ'!$B$6:$H$1069,6,0))</f>
      </c>
      <c r="G86" s="124" t="str">
        <f>IF(OR(E86="",F86="DQ",F86="DNF",F86="DNS",F86=""),"-",VLOOKUP(C86,'FERDİ SONUÇ'!$B$6:$H$1069,7,0))</f>
        <v>-</v>
      </c>
      <c r="H86" s="150"/>
      <c r="I86" s="150"/>
      <c r="J86" s="150"/>
      <c r="K86" s="146"/>
    </row>
    <row r="87" spans="1:11" ht="14.25">
      <c r="A87" s="125"/>
      <c r="B87" s="126"/>
      <c r="C87" s="127" t="e">
        <f>IF(A88="","",INDEX('TAKIM KAYIT'!$D$6:$D$125,MATCH(C88,'TAKIM KAYIT'!$D$6:$D$125,0)-1))</f>
        <v>#NUM!</v>
      </c>
      <c r="D87" s="128">
        <f>IF(ISERROR(VLOOKUP($C87,'START LİSTE'!$B$6:$F$1025,2,0)),"",VLOOKUP($C87,'START LİSTE'!$B$6:$F$1025,2,0))</f>
      </c>
      <c r="E87" s="129">
        <f>IF(ISERROR(VLOOKUP($C87,'START LİSTE'!$B$6:$F$1025,4,0)),"",VLOOKUP($C87,'START LİSTE'!$B$6:$F$1025,4,0))</f>
      </c>
      <c r="F87" s="130">
        <f>IF(ISERROR(VLOOKUP($C87,'FERDİ SONUÇ'!$B$6:$H$1069,6,0)),"",VLOOKUP($C87,'FERDİ SONUÇ'!$B$6:$H$1069,6,0))</f>
      </c>
      <c r="G87" s="131" t="str">
        <f>IF(OR(E87="",F87="DQ",F87="DNF",F87="DNS",F87=""),"-",VLOOKUP(C87,'FERDİ SONUÇ'!$B$6:$H$1069,7,0))</f>
        <v>-</v>
      </c>
      <c r="H87" s="151"/>
      <c r="I87" s="151"/>
      <c r="J87" s="151"/>
      <c r="K87" s="147"/>
    </row>
    <row r="88" spans="1:11" ht="15.75">
      <c r="A88" s="125" t="e">
        <f>IF(ISERROR(SMALL('TAKIM KAYIT'!$A$6:$A$125,1)),"",SMALL('TAKIM KAYIT'!$A$6:$A$125,21))</f>
        <v>#NUM!</v>
      </c>
      <c r="B88" s="126" t="e">
        <f>IF(A88="","",VLOOKUP(A88,'TAKIM KAYIT'!$A$6:$O$1250,3,0))</f>
        <v>#NUM!</v>
      </c>
      <c r="C88" s="127" t="e">
        <f>IF(A88="","",VLOOKUP(A88,'TAKIM KAYIT'!$B$6:$O$125,3,FALSE))</f>
        <v>#NUM!</v>
      </c>
      <c r="D88" s="128">
        <f>IF(ISERROR(VLOOKUP($C88,'START LİSTE'!$B$6:$F$1025,2,0)),"",VLOOKUP($C88,'START LİSTE'!$B$6:$F$1025,2,0))</f>
      </c>
      <c r="E88" s="129">
        <f>IF(ISERROR(VLOOKUP($C88,'START LİSTE'!$B$6:$F$1025,4,0)),"",VLOOKUP($C88,'START LİSTE'!$B$6:$F$1025,4,0))</f>
      </c>
      <c r="F88" s="130">
        <f>IF(ISERROR(VLOOKUP($C88,'FERDİ SONUÇ'!$B$6:$H$1069,6,0)),"",VLOOKUP($C88,'FERDİ SONUÇ'!$B$6:$H$1069,6,0))</f>
      </c>
      <c r="G88" s="131" t="str">
        <f>IF(OR(E88="",F88="DQ",F88="DNF",F88="DNS",F88=""),"-",VLOOKUP(C88,'FERDİ SONUÇ'!$B$6:$H$1069,7,0))</f>
        <v>-</v>
      </c>
      <c r="H88" s="143" t="e">
        <f>IF(A88="","",VLOOKUP(A88,'TAKIM KAYIT'!$A$6:$T$1250,11,0))</f>
        <v>#NUM!</v>
      </c>
      <c r="I88" s="143" t="e">
        <f>IF(A88="","",VLOOKUP(A88,'TAKIM KAYIT'!$A$6:$T$1250,12,0))</f>
        <v>#NUM!</v>
      </c>
      <c r="J88" s="110" t="e">
        <f>IF(A88="","",VLOOKUP(A88,'TAKIM KAYIT'!$A$6:$T$1250,13,0))</f>
        <v>#NUM!</v>
      </c>
      <c r="K88" s="143" t="e">
        <f>IF(A88="","",VLOOKUP(A88,'TAKIM KAYIT'!$A$6:$T$1250,15,0))</f>
        <v>#NUM!</v>
      </c>
    </row>
    <row r="89" spans="1:11" ht="14.25">
      <c r="A89" s="125"/>
      <c r="B89" s="126"/>
      <c r="C89" s="127" t="e">
        <f>IF(A88="","",INDEX('TAKIM KAYIT'!$D$6:$D$125,MATCH(C88,'TAKIM KAYIT'!$D$6:$D$125,0)+1))</f>
        <v>#NUM!</v>
      </c>
      <c r="D89" s="128">
        <f>IF(ISERROR(VLOOKUP($C89,'START LİSTE'!$B$6:$F$1025,2,0)),"",VLOOKUP($C89,'START LİSTE'!$B$6:$F$1025,2,0))</f>
      </c>
      <c r="E89" s="129">
        <f>IF(ISERROR(VLOOKUP($C89,'START LİSTE'!$B$6:$F$1025,4,0)),"",VLOOKUP($C89,'START LİSTE'!$B$6:$F$1025,4,0))</f>
      </c>
      <c r="F89" s="130">
        <f>IF(ISERROR(VLOOKUP($C89,'FERDİ SONUÇ'!$B$6:$H$1069,6,0)),"",VLOOKUP($C89,'FERDİ SONUÇ'!$B$6:$H$1069,6,0))</f>
      </c>
      <c r="G89" s="131" t="str">
        <f>IF(OR(E89="",F89="DQ",F89="DNF",F89="DNS",F89=""),"-",VLOOKUP(C89,'FERDİ SONUÇ'!$B$6:$H$1069,7,0))</f>
        <v>-</v>
      </c>
      <c r="H89" s="151"/>
      <c r="I89" s="151"/>
      <c r="J89" s="151"/>
      <c r="K89" s="147"/>
    </row>
    <row r="90" spans="1:11" ht="14.25">
      <c r="A90" s="118"/>
      <c r="B90" s="119"/>
      <c r="C90" s="120" t="e">
        <f>IF(A92="","",INDEX('TAKIM KAYIT'!$D$6:$D$125,MATCH(C92,'TAKIM KAYIT'!$D$6:$D$125,0)-2))</f>
        <v>#NUM!</v>
      </c>
      <c r="D90" s="121">
        <f>IF(ISERROR(VLOOKUP($C90,'START LİSTE'!$B$6:$F$1025,2,0)),"",VLOOKUP($C90,'START LİSTE'!$B$6:$F$1025,2,0))</f>
      </c>
      <c r="E90" s="122">
        <f>IF(ISERROR(VLOOKUP($C90,'START LİSTE'!$B$6:$F$1025,4,0)),"",VLOOKUP($C90,'START LİSTE'!$B$6:$F$1025,4,0))</f>
      </c>
      <c r="F90" s="123">
        <f>IF(ISERROR(VLOOKUP($C90,'FERDİ SONUÇ'!$B$6:$H$1069,6,0)),"",VLOOKUP($C90,'FERDİ SONUÇ'!$B$6:$H$1069,6,0))</f>
      </c>
      <c r="G90" s="124" t="str">
        <f>IF(OR(E90="",F90="DQ",F90="DNF",F90="DNS",F90=""),"-",VLOOKUP(C90,'FERDİ SONUÇ'!$B$6:$H$1069,7,0))</f>
        <v>-</v>
      </c>
      <c r="H90" s="150"/>
      <c r="I90" s="150"/>
      <c r="J90" s="150"/>
      <c r="K90" s="146"/>
    </row>
    <row r="91" spans="1:11" ht="14.25">
      <c r="A91" s="125"/>
      <c r="B91" s="126"/>
      <c r="C91" s="127" t="e">
        <f>IF(A92="","",INDEX('TAKIM KAYIT'!$D$6:$D$125,MATCH(C92,'TAKIM KAYIT'!$D$6:$D$125,0)-1))</f>
        <v>#NUM!</v>
      </c>
      <c r="D91" s="128">
        <f>IF(ISERROR(VLOOKUP($C91,'START LİSTE'!$B$6:$F$1025,2,0)),"",VLOOKUP($C91,'START LİSTE'!$B$6:$F$1025,2,0))</f>
      </c>
      <c r="E91" s="129">
        <f>IF(ISERROR(VLOOKUP($C91,'START LİSTE'!$B$6:$F$1025,4,0)),"",VLOOKUP($C91,'START LİSTE'!$B$6:$F$1025,4,0))</f>
      </c>
      <c r="F91" s="130">
        <f>IF(ISERROR(VLOOKUP($C91,'FERDİ SONUÇ'!$B$6:$H$1069,6,0)),"",VLOOKUP($C91,'FERDİ SONUÇ'!$B$6:$H$1069,6,0))</f>
      </c>
      <c r="G91" s="131" t="str">
        <f>IF(OR(E91="",F91="DQ",F91="DNF",F91="DNS",F91=""),"-",VLOOKUP(C91,'FERDİ SONUÇ'!$B$6:$H$1069,7,0))</f>
        <v>-</v>
      </c>
      <c r="H91" s="151"/>
      <c r="I91" s="151"/>
      <c r="J91" s="151"/>
      <c r="K91" s="147"/>
    </row>
    <row r="92" spans="1:11" ht="15.75">
      <c r="A92" s="125" t="e">
        <f>IF(ISERROR(SMALL('TAKIM KAYIT'!$A$6:$A$125,1)),"",SMALL('TAKIM KAYIT'!$A$6:$A$125,22))</f>
        <v>#NUM!</v>
      </c>
      <c r="B92" s="126" t="e">
        <f>IF(A92="","",VLOOKUP(A92,'TAKIM KAYIT'!$A$6:$O$1250,3,0))</f>
        <v>#NUM!</v>
      </c>
      <c r="C92" s="127" t="e">
        <f>IF(A92="","",VLOOKUP(A92,'TAKIM KAYIT'!$B$6:$O$125,3,FALSE))</f>
        <v>#NUM!</v>
      </c>
      <c r="D92" s="128">
        <f>IF(ISERROR(VLOOKUP($C92,'START LİSTE'!$B$6:$F$1025,2,0)),"",VLOOKUP($C92,'START LİSTE'!$B$6:$F$1025,2,0))</f>
      </c>
      <c r="E92" s="129">
        <f>IF(ISERROR(VLOOKUP($C92,'START LİSTE'!$B$6:$F$1025,4,0)),"",VLOOKUP($C92,'START LİSTE'!$B$6:$F$1025,4,0))</f>
      </c>
      <c r="F92" s="130">
        <f>IF(ISERROR(VLOOKUP($C92,'FERDİ SONUÇ'!$B$6:$H$1069,6,0)),"",VLOOKUP($C92,'FERDİ SONUÇ'!$B$6:$H$1069,6,0))</f>
      </c>
      <c r="G92" s="131" t="str">
        <f>IF(OR(E92="",F92="DQ",F92="DNF",F92="DNS",F92=""),"-",VLOOKUP(C92,'FERDİ SONUÇ'!$B$6:$H$1069,7,0))</f>
        <v>-</v>
      </c>
      <c r="H92" s="143" t="e">
        <f>IF(A92="","",VLOOKUP(A92,'TAKIM KAYIT'!$A$6:$T$1250,11,0))</f>
        <v>#NUM!</v>
      </c>
      <c r="I92" s="143" t="e">
        <f>IF(A92="","",VLOOKUP(A92,'TAKIM KAYIT'!$A$6:$T$1250,12,0))</f>
        <v>#NUM!</v>
      </c>
      <c r="J92" s="110" t="e">
        <f>IF(A92="","",VLOOKUP(A92,'TAKIM KAYIT'!$A$6:$T$1250,13,0))</f>
        <v>#NUM!</v>
      </c>
      <c r="K92" s="143" t="e">
        <f>IF(A92="","",VLOOKUP(A92,'TAKIM KAYIT'!$A$6:$T$1250,15,0))</f>
        <v>#NUM!</v>
      </c>
    </row>
    <row r="93" spans="1:11" ht="14.25">
      <c r="A93" s="125"/>
      <c r="B93" s="126"/>
      <c r="C93" s="127" t="e">
        <f>IF(A92="","",INDEX('TAKIM KAYIT'!$D$6:$D$125,MATCH(C92,'TAKIM KAYIT'!$D$6:$D$125,0)+1))</f>
        <v>#NUM!</v>
      </c>
      <c r="D93" s="128">
        <f>IF(ISERROR(VLOOKUP($C93,'START LİSTE'!$B$6:$F$1025,2,0)),"",VLOOKUP($C93,'START LİSTE'!$B$6:$F$1025,2,0))</f>
      </c>
      <c r="E93" s="129">
        <f>IF(ISERROR(VLOOKUP($C93,'START LİSTE'!$B$6:$F$1025,4,0)),"",VLOOKUP($C93,'START LİSTE'!$B$6:$F$1025,4,0))</f>
      </c>
      <c r="F93" s="130">
        <f>IF(ISERROR(VLOOKUP($C93,'FERDİ SONUÇ'!$B$6:$H$1069,6,0)),"",VLOOKUP($C93,'FERDİ SONUÇ'!$B$6:$H$1069,6,0))</f>
      </c>
      <c r="G93" s="131" t="str">
        <f>IF(OR(E93="",F93="DQ",F93="DNF",F93="DNS",F93=""),"-",VLOOKUP(C93,'FERDİ SONUÇ'!$B$6:$H$1069,7,0))</f>
        <v>-</v>
      </c>
      <c r="H93" s="151"/>
      <c r="I93" s="151"/>
      <c r="J93" s="151"/>
      <c r="K93" s="147"/>
    </row>
    <row r="94" spans="1:11" ht="14.25">
      <c r="A94" s="118"/>
      <c r="B94" s="119"/>
      <c r="C94" s="120" t="e">
        <f>IF(A96="","",INDEX('TAKIM KAYIT'!$D$6:$D$125,MATCH(C96,'TAKIM KAYIT'!$D$6:$D$125,0)-2))</f>
        <v>#NUM!</v>
      </c>
      <c r="D94" s="121">
        <f>IF(ISERROR(VLOOKUP($C94,'START LİSTE'!$B$6:$F$1025,2,0)),"",VLOOKUP($C94,'START LİSTE'!$B$6:$F$1025,2,0))</f>
      </c>
      <c r="E94" s="122">
        <f>IF(ISERROR(VLOOKUP($C94,'START LİSTE'!$B$6:$F$1025,4,0)),"",VLOOKUP($C94,'START LİSTE'!$B$6:$F$1025,4,0))</f>
      </c>
      <c r="F94" s="123">
        <f>IF(ISERROR(VLOOKUP($C94,'FERDİ SONUÇ'!$B$6:$H$1069,6,0)),"",VLOOKUP($C94,'FERDİ SONUÇ'!$B$6:$H$1069,6,0))</f>
      </c>
      <c r="G94" s="124" t="str">
        <f>IF(OR(E94="",F94="DQ",F94="DNF",F94="DNS",F94=""),"-",VLOOKUP(C94,'FERDİ SONUÇ'!$B$6:$H$1069,7,0))</f>
        <v>-</v>
      </c>
      <c r="H94" s="150"/>
      <c r="I94" s="150"/>
      <c r="J94" s="150"/>
      <c r="K94" s="146"/>
    </row>
    <row r="95" spans="1:11" ht="14.25">
      <c r="A95" s="125"/>
      <c r="B95" s="126"/>
      <c r="C95" s="127" t="e">
        <f>IF(A96="","",INDEX('TAKIM KAYIT'!$D$6:$D$125,MATCH(C96,'TAKIM KAYIT'!$D$6:$D$125,0)-1))</f>
        <v>#NUM!</v>
      </c>
      <c r="D95" s="128">
        <f>IF(ISERROR(VLOOKUP($C95,'START LİSTE'!$B$6:$F$1025,2,0)),"",VLOOKUP($C95,'START LİSTE'!$B$6:$F$1025,2,0))</f>
      </c>
      <c r="E95" s="129">
        <f>IF(ISERROR(VLOOKUP($C95,'START LİSTE'!$B$6:$F$1025,4,0)),"",VLOOKUP($C95,'START LİSTE'!$B$6:$F$1025,4,0))</f>
      </c>
      <c r="F95" s="130">
        <f>IF(ISERROR(VLOOKUP($C95,'FERDİ SONUÇ'!$B$6:$H$1069,6,0)),"",VLOOKUP($C95,'FERDİ SONUÇ'!$B$6:$H$1069,6,0))</f>
      </c>
      <c r="G95" s="131" t="str">
        <f>IF(OR(E95="",F95="DQ",F95="DNF",F95="DNS",F95=""),"-",VLOOKUP(C95,'FERDİ SONUÇ'!$B$6:$H$1069,7,0))</f>
        <v>-</v>
      </c>
      <c r="H95" s="151"/>
      <c r="I95" s="151"/>
      <c r="J95" s="151"/>
      <c r="K95" s="147"/>
    </row>
    <row r="96" spans="1:11" ht="15.75">
      <c r="A96" s="125" t="e">
        <f>IF(ISERROR(SMALL('TAKIM KAYIT'!$A$6:$A$125,1)),"",SMALL('TAKIM KAYIT'!$A$6:$A$125,23))</f>
        <v>#NUM!</v>
      </c>
      <c r="B96" s="126" t="e">
        <f>IF(A96="","",VLOOKUP(A96,'TAKIM KAYIT'!$A$6:$O$1250,3,0))</f>
        <v>#NUM!</v>
      </c>
      <c r="C96" s="127" t="e">
        <f>IF(A96="","",VLOOKUP(A96,'TAKIM KAYIT'!$B$6:$O$125,3,FALSE))</f>
        <v>#NUM!</v>
      </c>
      <c r="D96" s="128">
        <f>IF(ISERROR(VLOOKUP($C96,'START LİSTE'!$B$6:$F$1025,2,0)),"",VLOOKUP($C96,'START LİSTE'!$B$6:$F$1025,2,0))</f>
      </c>
      <c r="E96" s="129">
        <f>IF(ISERROR(VLOOKUP($C96,'START LİSTE'!$B$6:$F$1025,4,0)),"",VLOOKUP($C96,'START LİSTE'!$B$6:$F$1025,4,0))</f>
      </c>
      <c r="F96" s="130">
        <f>IF(ISERROR(VLOOKUP($C96,'FERDİ SONUÇ'!$B$6:$H$1069,6,0)),"",VLOOKUP($C96,'FERDİ SONUÇ'!$B$6:$H$1069,6,0))</f>
      </c>
      <c r="G96" s="131" t="str">
        <f>IF(OR(E96="",F96="DQ",F96="DNF",F96="DNS",F96=""),"-",VLOOKUP(C96,'FERDİ SONUÇ'!$B$6:$H$1069,7,0))</f>
        <v>-</v>
      </c>
      <c r="H96" s="143" t="e">
        <f>IF(A96="","",VLOOKUP(A96,'TAKIM KAYIT'!$A$6:$T$1250,11,0))</f>
        <v>#NUM!</v>
      </c>
      <c r="I96" s="143" t="e">
        <f>IF(A96="","",VLOOKUP(A96,'TAKIM KAYIT'!$A$6:$T$1250,12,0))</f>
        <v>#NUM!</v>
      </c>
      <c r="J96" s="110" t="e">
        <f>IF(A96="","",VLOOKUP(A96,'TAKIM KAYIT'!$A$6:$T$1250,13,0))</f>
        <v>#NUM!</v>
      </c>
      <c r="K96" s="143" t="e">
        <f>IF(A96="","",VLOOKUP(A96,'TAKIM KAYIT'!$A$6:$T$1250,15,0))</f>
        <v>#NUM!</v>
      </c>
    </row>
    <row r="97" spans="1:11" ht="14.25">
      <c r="A97" s="125"/>
      <c r="B97" s="126"/>
      <c r="C97" s="127" t="e">
        <f>IF(A96="","",INDEX('TAKIM KAYIT'!$D$6:$D$125,MATCH(C96,'TAKIM KAYIT'!$D$6:$D$125,0)+1))</f>
        <v>#NUM!</v>
      </c>
      <c r="D97" s="128">
        <f>IF(ISERROR(VLOOKUP($C97,'START LİSTE'!$B$6:$F$1025,2,0)),"",VLOOKUP($C97,'START LİSTE'!$B$6:$F$1025,2,0))</f>
      </c>
      <c r="E97" s="129">
        <f>IF(ISERROR(VLOOKUP($C97,'START LİSTE'!$B$6:$F$1025,4,0)),"",VLOOKUP($C97,'START LİSTE'!$B$6:$F$1025,4,0))</f>
      </c>
      <c r="F97" s="130">
        <f>IF(ISERROR(VLOOKUP($C97,'FERDİ SONUÇ'!$B$6:$H$1069,6,0)),"",VLOOKUP($C97,'FERDİ SONUÇ'!$B$6:$H$1069,6,0))</f>
      </c>
      <c r="G97" s="131" t="str">
        <f>IF(OR(E97="",F97="DQ",F97="DNF",F97="DNS",F97=""),"-",VLOOKUP(C97,'FERDİ SONUÇ'!$B$6:$H$1069,7,0))</f>
        <v>-</v>
      </c>
      <c r="H97" s="151"/>
      <c r="I97" s="151"/>
      <c r="J97" s="151"/>
      <c r="K97" s="147"/>
    </row>
    <row r="98" spans="1:11" ht="14.25">
      <c r="A98" s="118"/>
      <c r="B98" s="119"/>
      <c r="C98" s="120" t="e">
        <f>IF(A100="","",INDEX('TAKIM KAYIT'!$D$6:$D$125,MATCH(C100,'TAKIM KAYIT'!$D$6:$D$125,0)-2))</f>
        <v>#NUM!</v>
      </c>
      <c r="D98" s="121">
        <f>IF(ISERROR(VLOOKUP($C98,'START LİSTE'!$B$6:$F$1025,2,0)),"",VLOOKUP($C98,'START LİSTE'!$B$6:$F$1025,2,0))</f>
      </c>
      <c r="E98" s="122">
        <f>IF(ISERROR(VLOOKUP($C98,'START LİSTE'!$B$6:$F$1025,4,0)),"",VLOOKUP($C98,'START LİSTE'!$B$6:$F$1025,4,0))</f>
      </c>
      <c r="F98" s="123">
        <f>IF(ISERROR(VLOOKUP($C98,'FERDİ SONUÇ'!$B$6:$H$1069,6,0)),"",VLOOKUP($C98,'FERDİ SONUÇ'!$B$6:$H$1069,6,0))</f>
      </c>
      <c r="G98" s="124" t="str">
        <f>IF(OR(E98="",F98="DQ",F98="DNF",F98="DNS",F98=""),"-",VLOOKUP(C98,'FERDİ SONUÇ'!$B$6:$H$1069,7,0))</f>
        <v>-</v>
      </c>
      <c r="H98" s="150"/>
      <c r="I98" s="150"/>
      <c r="J98" s="150"/>
      <c r="K98" s="146"/>
    </row>
    <row r="99" spans="1:11" ht="14.25">
      <c r="A99" s="125"/>
      <c r="B99" s="126"/>
      <c r="C99" s="127" t="e">
        <f>IF(A100="","",INDEX('TAKIM KAYIT'!$D$6:$D$125,MATCH(C100,'TAKIM KAYIT'!$D$6:$D$125,0)-1))</f>
        <v>#NUM!</v>
      </c>
      <c r="D99" s="128">
        <f>IF(ISERROR(VLOOKUP($C99,'START LİSTE'!$B$6:$F$1025,2,0)),"",VLOOKUP($C99,'START LİSTE'!$B$6:$F$1025,2,0))</f>
      </c>
      <c r="E99" s="129">
        <f>IF(ISERROR(VLOOKUP($C99,'START LİSTE'!$B$6:$F$1025,4,0)),"",VLOOKUP($C99,'START LİSTE'!$B$6:$F$1025,4,0))</f>
      </c>
      <c r="F99" s="130">
        <f>IF(ISERROR(VLOOKUP($C99,'FERDİ SONUÇ'!$B$6:$H$1069,6,0)),"",VLOOKUP($C99,'FERDİ SONUÇ'!$B$6:$H$1069,6,0))</f>
      </c>
      <c r="G99" s="131" t="str">
        <f>IF(OR(E99="",F99="DQ",F99="DNF",F99="DNS",F99=""),"-",VLOOKUP(C99,'FERDİ SONUÇ'!$B$6:$H$1069,7,0))</f>
        <v>-</v>
      </c>
      <c r="H99" s="151"/>
      <c r="I99" s="151"/>
      <c r="J99" s="151"/>
      <c r="K99" s="147"/>
    </row>
    <row r="100" spans="1:11" ht="15.75">
      <c r="A100" s="125" t="e">
        <f>IF(ISERROR(SMALL('TAKIM KAYIT'!$A$6:$A$125,1)),"",SMALL('TAKIM KAYIT'!$A$6:$A$125,24))</f>
        <v>#NUM!</v>
      </c>
      <c r="B100" s="126" t="e">
        <f>IF(A100="","",VLOOKUP(A100,'TAKIM KAYIT'!$A$6:$O$1250,3,0))</f>
        <v>#NUM!</v>
      </c>
      <c r="C100" s="127" t="e">
        <f>IF(A100="","",VLOOKUP(A100,'TAKIM KAYIT'!$B$6:$O$125,3,FALSE))</f>
        <v>#NUM!</v>
      </c>
      <c r="D100" s="128">
        <f>IF(ISERROR(VLOOKUP($C100,'START LİSTE'!$B$6:$F$1025,2,0)),"",VLOOKUP($C100,'START LİSTE'!$B$6:$F$1025,2,0))</f>
      </c>
      <c r="E100" s="129">
        <f>IF(ISERROR(VLOOKUP($C100,'START LİSTE'!$B$6:$F$1025,4,0)),"",VLOOKUP($C100,'START LİSTE'!$B$6:$F$1025,4,0))</f>
      </c>
      <c r="F100" s="130">
        <f>IF(ISERROR(VLOOKUP($C100,'FERDİ SONUÇ'!$B$6:$H$1069,6,0)),"",VLOOKUP($C100,'FERDİ SONUÇ'!$B$6:$H$1069,6,0))</f>
      </c>
      <c r="G100" s="131" t="str">
        <f>IF(OR(E100="",F100="DQ",F100="DNF",F100="DNS",F100=""),"-",VLOOKUP(C100,'FERDİ SONUÇ'!$B$6:$H$1069,7,0))</f>
        <v>-</v>
      </c>
      <c r="H100" s="143" t="e">
        <f>IF(A100="","",VLOOKUP(A100,'TAKIM KAYIT'!$A$6:$T$1250,11,0))</f>
        <v>#NUM!</v>
      </c>
      <c r="I100" s="143" t="e">
        <f>IF(A100="","",VLOOKUP(A100,'TAKIM KAYIT'!$A$6:$T$1250,12,0))</f>
        <v>#NUM!</v>
      </c>
      <c r="J100" s="110" t="e">
        <f>IF(A100="","",VLOOKUP(A100,'TAKIM KAYIT'!$A$6:$T$1250,13,0))</f>
        <v>#NUM!</v>
      </c>
      <c r="K100" s="143" t="e">
        <f>IF(A100="","",VLOOKUP(A100,'TAKIM KAYIT'!$A$6:$T$1250,15,0))</f>
        <v>#NUM!</v>
      </c>
    </row>
    <row r="101" spans="1:11" ht="14.25">
      <c r="A101" s="125"/>
      <c r="B101" s="126"/>
      <c r="C101" s="127" t="e">
        <f>IF(A100="","",INDEX('TAKIM KAYIT'!$D$6:$D$125,MATCH(C100,'TAKIM KAYIT'!$D$6:$D$125,0)+1))</f>
        <v>#NUM!</v>
      </c>
      <c r="D101" s="128">
        <f>IF(ISERROR(VLOOKUP($C101,'START LİSTE'!$B$6:$F$1025,2,0)),"",VLOOKUP($C101,'START LİSTE'!$B$6:$F$1025,2,0))</f>
      </c>
      <c r="E101" s="129">
        <f>IF(ISERROR(VLOOKUP($C101,'START LİSTE'!$B$6:$F$1025,4,0)),"",VLOOKUP($C101,'START LİSTE'!$B$6:$F$1025,4,0))</f>
      </c>
      <c r="F101" s="130">
        <f>IF(ISERROR(VLOOKUP($C101,'FERDİ SONUÇ'!$B$6:$H$1069,6,0)),"",VLOOKUP($C101,'FERDİ SONUÇ'!$B$6:$H$1069,6,0))</f>
      </c>
      <c r="G101" s="131" t="str">
        <f>IF(OR(E101="",F101="DQ",F101="DNF",F101="DNS",F101=""),"-",VLOOKUP(C101,'FERDİ SONUÇ'!$B$6:$H$1069,7,0))</f>
        <v>-</v>
      </c>
      <c r="H101" s="151"/>
      <c r="I101" s="151"/>
      <c r="J101" s="151"/>
      <c r="K101" s="147"/>
    </row>
    <row r="102" spans="1:11" ht="14.25">
      <c r="A102" s="118"/>
      <c r="B102" s="119"/>
      <c r="C102" s="120" t="e">
        <f>IF(A104="","",INDEX('TAKIM KAYIT'!$D$6:$D$125,MATCH(C104,'TAKIM KAYIT'!$D$6:$D$125,0)-2))</f>
        <v>#NUM!</v>
      </c>
      <c r="D102" s="121">
        <f>IF(ISERROR(VLOOKUP($C102,'START LİSTE'!$B$6:$F$1025,2,0)),"",VLOOKUP($C102,'START LİSTE'!$B$6:$F$1025,2,0))</f>
      </c>
      <c r="E102" s="122">
        <f>IF(ISERROR(VLOOKUP($C102,'START LİSTE'!$B$6:$F$1025,4,0)),"",VLOOKUP($C102,'START LİSTE'!$B$6:$F$1025,4,0))</f>
      </c>
      <c r="F102" s="123">
        <f>IF(ISERROR(VLOOKUP($C102,'FERDİ SONUÇ'!$B$6:$H$1069,6,0)),"",VLOOKUP($C102,'FERDİ SONUÇ'!$B$6:$H$1069,6,0))</f>
      </c>
      <c r="G102" s="124" t="str">
        <f>IF(OR(E102="",F102="DQ",F102="DNF",F102="DNS",F102=""),"-",VLOOKUP(C102,'FERDİ SONUÇ'!$B$6:$H$1069,7,0))</f>
        <v>-</v>
      </c>
      <c r="H102" s="150"/>
      <c r="I102" s="150"/>
      <c r="J102" s="150"/>
      <c r="K102" s="146"/>
    </row>
    <row r="103" spans="1:11" ht="14.25">
      <c r="A103" s="125"/>
      <c r="B103" s="126"/>
      <c r="C103" s="127" t="e">
        <f>IF(A104="","",INDEX('TAKIM KAYIT'!$D$6:$D$125,MATCH(C104,'TAKIM KAYIT'!$D$6:$D$125,0)-1))</f>
        <v>#NUM!</v>
      </c>
      <c r="D103" s="128">
        <f>IF(ISERROR(VLOOKUP($C103,'START LİSTE'!$B$6:$F$1025,2,0)),"",VLOOKUP($C103,'START LİSTE'!$B$6:$F$1025,2,0))</f>
      </c>
      <c r="E103" s="129">
        <f>IF(ISERROR(VLOOKUP($C103,'START LİSTE'!$B$6:$F$1025,4,0)),"",VLOOKUP($C103,'START LİSTE'!$B$6:$F$1025,4,0))</f>
      </c>
      <c r="F103" s="130">
        <f>IF(ISERROR(VLOOKUP($C103,'FERDİ SONUÇ'!$B$6:$H$1069,6,0)),"",VLOOKUP($C103,'FERDİ SONUÇ'!$B$6:$H$1069,6,0))</f>
      </c>
      <c r="G103" s="131" t="str">
        <f>IF(OR(E103="",F103="DQ",F103="DNF",F103="DNS",F103=""),"-",VLOOKUP(C103,'FERDİ SONUÇ'!$B$6:$H$1069,7,0))</f>
        <v>-</v>
      </c>
      <c r="H103" s="151"/>
      <c r="I103" s="151"/>
      <c r="J103" s="151"/>
      <c r="K103" s="147"/>
    </row>
    <row r="104" spans="1:11" ht="15.75">
      <c r="A104" s="125" t="e">
        <f>IF(ISERROR(SMALL('TAKIM KAYIT'!$A$6:$A$125,1)),"",SMALL('TAKIM KAYIT'!$A$6:$A$125,25))</f>
        <v>#NUM!</v>
      </c>
      <c r="B104" s="126" t="e">
        <f>IF(A104="","",VLOOKUP(A104,'TAKIM KAYIT'!$A$6:$O$1250,3,0))</f>
        <v>#NUM!</v>
      </c>
      <c r="C104" s="127" t="e">
        <f>IF(A104="","",VLOOKUP(A104,'TAKIM KAYIT'!$B$6:$O$125,3,FALSE))</f>
        <v>#NUM!</v>
      </c>
      <c r="D104" s="128">
        <f>IF(ISERROR(VLOOKUP($C104,'START LİSTE'!$B$6:$F$1025,2,0)),"",VLOOKUP($C104,'START LİSTE'!$B$6:$F$1025,2,0))</f>
      </c>
      <c r="E104" s="129">
        <f>IF(ISERROR(VLOOKUP($C104,'START LİSTE'!$B$6:$F$1025,4,0)),"",VLOOKUP($C104,'START LİSTE'!$B$6:$F$1025,4,0))</f>
      </c>
      <c r="F104" s="130">
        <f>IF(ISERROR(VLOOKUP($C104,'FERDİ SONUÇ'!$B$6:$H$1069,6,0)),"",VLOOKUP($C104,'FERDİ SONUÇ'!$B$6:$H$1069,6,0))</f>
      </c>
      <c r="G104" s="131" t="str">
        <f>IF(OR(E104="",F104="DQ",F104="DNF",F104="DNS",F104=""),"-",VLOOKUP(C104,'FERDİ SONUÇ'!$B$6:$H$1069,7,0))</f>
        <v>-</v>
      </c>
      <c r="H104" s="143" t="e">
        <f>IF(A104="","",VLOOKUP(A104,'TAKIM KAYIT'!$A$6:$T$1250,11,0))</f>
        <v>#NUM!</v>
      </c>
      <c r="I104" s="143" t="e">
        <f>IF(A104="","",VLOOKUP(A104,'TAKIM KAYIT'!$A$6:$T$1250,12,0))</f>
        <v>#NUM!</v>
      </c>
      <c r="J104" s="110" t="e">
        <f>IF(A104="","",VLOOKUP(A104,'TAKIM KAYIT'!$A$6:$T$1250,13,0))</f>
        <v>#NUM!</v>
      </c>
      <c r="K104" s="143" t="e">
        <f>IF(A104="","",VLOOKUP(A104,'TAKIM KAYIT'!$A$6:$T$1250,15,0))</f>
        <v>#NUM!</v>
      </c>
    </row>
    <row r="105" spans="1:11" ht="14.25">
      <c r="A105" s="125"/>
      <c r="B105" s="126"/>
      <c r="C105" s="127" t="e">
        <f>IF(A104="","",INDEX('TAKIM KAYIT'!$D$6:$D$125,MATCH(C104,'TAKIM KAYIT'!$D$6:$D$125,0)+1))</f>
        <v>#NUM!</v>
      </c>
      <c r="D105" s="128">
        <f>IF(ISERROR(VLOOKUP($C105,'START LİSTE'!$B$6:$F$1025,2,0)),"",VLOOKUP($C105,'START LİSTE'!$B$6:$F$1025,2,0))</f>
      </c>
      <c r="E105" s="129">
        <f>IF(ISERROR(VLOOKUP($C105,'START LİSTE'!$B$6:$F$1025,4,0)),"",VLOOKUP($C105,'START LİSTE'!$B$6:$F$1025,4,0))</f>
      </c>
      <c r="F105" s="130">
        <f>IF(ISERROR(VLOOKUP($C105,'FERDİ SONUÇ'!$B$6:$H$1069,6,0)),"",VLOOKUP($C105,'FERDİ SONUÇ'!$B$6:$H$1069,6,0))</f>
      </c>
      <c r="G105" s="131" t="str">
        <f>IF(OR(E105="",F105="DQ",F105="DNF",F105="DNS",F105=""),"-",VLOOKUP(C105,'FERDİ SONUÇ'!$B$6:$H$1069,7,0))</f>
        <v>-</v>
      </c>
      <c r="H105" s="151"/>
      <c r="I105" s="151"/>
      <c r="J105" s="151"/>
      <c r="K105" s="147"/>
    </row>
    <row r="106" spans="1:11" ht="14.25">
      <c r="A106" s="118"/>
      <c r="B106" s="119"/>
      <c r="C106" s="120" t="e">
        <f>IF(A108="","",INDEX('TAKIM KAYIT'!$D$6:$D$125,MATCH(C108,'TAKIM KAYIT'!$D$6:$D$125,0)-2))</f>
        <v>#NUM!</v>
      </c>
      <c r="D106" s="121">
        <f>IF(ISERROR(VLOOKUP($C106,'START LİSTE'!$B$6:$F$1025,2,0)),"",VLOOKUP($C106,'START LİSTE'!$B$6:$F$1025,2,0))</f>
      </c>
      <c r="E106" s="122">
        <f>IF(ISERROR(VLOOKUP($C106,'START LİSTE'!$B$6:$F$1025,4,0)),"",VLOOKUP($C106,'START LİSTE'!$B$6:$F$1025,4,0))</f>
      </c>
      <c r="F106" s="123">
        <f>IF(ISERROR(VLOOKUP($C106,'FERDİ SONUÇ'!$B$6:$H$1069,6,0)),"",VLOOKUP($C106,'FERDİ SONUÇ'!$B$6:$H$1069,6,0))</f>
      </c>
      <c r="G106" s="124" t="str">
        <f>IF(OR(E106="",F106="DQ",F106="DNF",F106="DNS",F106=""),"-",VLOOKUP(C106,'FERDİ SONUÇ'!$B$6:$H$1069,7,0))</f>
        <v>-</v>
      </c>
      <c r="H106" s="150"/>
      <c r="I106" s="150"/>
      <c r="J106" s="150"/>
      <c r="K106" s="146"/>
    </row>
    <row r="107" spans="1:11" ht="14.25">
      <c r="A107" s="125"/>
      <c r="B107" s="126"/>
      <c r="C107" s="127" t="e">
        <f>IF(A108="","",INDEX('TAKIM KAYIT'!$D$6:$D$125,MATCH(C108,'TAKIM KAYIT'!$D$6:$D$125,0)-1))</f>
        <v>#NUM!</v>
      </c>
      <c r="D107" s="128">
        <f>IF(ISERROR(VLOOKUP($C107,'START LİSTE'!$B$6:$F$1025,2,0)),"",VLOOKUP($C107,'START LİSTE'!$B$6:$F$1025,2,0))</f>
      </c>
      <c r="E107" s="129">
        <f>IF(ISERROR(VLOOKUP($C107,'START LİSTE'!$B$6:$F$1025,4,0)),"",VLOOKUP($C107,'START LİSTE'!$B$6:$F$1025,4,0))</f>
      </c>
      <c r="F107" s="130">
        <f>IF(ISERROR(VLOOKUP($C107,'FERDİ SONUÇ'!$B$6:$H$1069,6,0)),"",VLOOKUP($C107,'FERDİ SONUÇ'!$B$6:$H$1069,6,0))</f>
      </c>
      <c r="G107" s="131" t="str">
        <f>IF(OR(E107="",F107="DQ",F107="DNF",F107="DNS",F107=""),"-",VLOOKUP(C107,'FERDİ SONUÇ'!$B$6:$H$1069,7,0))</f>
        <v>-</v>
      </c>
      <c r="H107" s="151"/>
      <c r="I107" s="151"/>
      <c r="J107" s="151"/>
      <c r="K107" s="147"/>
    </row>
    <row r="108" spans="1:11" ht="15.75">
      <c r="A108" s="125" t="e">
        <f>IF(ISERROR(SMALL('TAKIM KAYIT'!$A$6:$A$125,1)),"",SMALL('TAKIM KAYIT'!$A$6:$A$125,26))</f>
        <v>#NUM!</v>
      </c>
      <c r="B108" s="126" t="e">
        <f>IF(A108="","",VLOOKUP(A108,'TAKIM KAYIT'!$A$6:$O$1250,3,0))</f>
        <v>#NUM!</v>
      </c>
      <c r="C108" s="127" t="e">
        <f>IF(A108="","",VLOOKUP(A108,'TAKIM KAYIT'!$B$6:$O$125,3,FALSE))</f>
        <v>#NUM!</v>
      </c>
      <c r="D108" s="128">
        <f>IF(ISERROR(VLOOKUP($C108,'START LİSTE'!$B$6:$F$1025,2,0)),"",VLOOKUP($C108,'START LİSTE'!$B$6:$F$1025,2,0))</f>
      </c>
      <c r="E108" s="129">
        <f>IF(ISERROR(VLOOKUP($C108,'START LİSTE'!$B$6:$F$1025,4,0)),"",VLOOKUP($C108,'START LİSTE'!$B$6:$F$1025,4,0))</f>
      </c>
      <c r="F108" s="130">
        <f>IF(ISERROR(VLOOKUP($C108,'FERDİ SONUÇ'!$B$6:$H$1069,6,0)),"",VLOOKUP($C108,'FERDİ SONUÇ'!$B$6:$H$1069,6,0))</f>
      </c>
      <c r="G108" s="131" t="str">
        <f>IF(OR(E108="",F108="DQ",F108="DNF",F108="DNS",F108=""),"-",VLOOKUP(C108,'FERDİ SONUÇ'!$B$6:$H$1069,7,0))</f>
        <v>-</v>
      </c>
      <c r="H108" s="143" t="e">
        <f>IF(A108="","",VLOOKUP(A108,'TAKIM KAYIT'!$A$6:$T$1250,11,0))</f>
        <v>#NUM!</v>
      </c>
      <c r="I108" s="143" t="e">
        <f>IF(A108="","",VLOOKUP(A108,'TAKIM KAYIT'!$A$6:$T$1250,12,0))</f>
        <v>#NUM!</v>
      </c>
      <c r="J108" s="110" t="e">
        <f>IF(A108="","",VLOOKUP(A108,'TAKIM KAYIT'!$A$6:$T$1250,13,0))</f>
        <v>#NUM!</v>
      </c>
      <c r="K108" s="143" t="e">
        <f>IF(A108="","",VLOOKUP(A108,'TAKIM KAYIT'!$A$6:$T$1250,15,0))</f>
        <v>#NUM!</v>
      </c>
    </row>
    <row r="109" spans="1:11" ht="14.25">
      <c r="A109" s="125"/>
      <c r="B109" s="126"/>
      <c r="C109" s="127" t="e">
        <f>IF(A108="","",INDEX('TAKIM KAYIT'!$D$6:$D$125,MATCH(C108,'TAKIM KAYIT'!$D$6:$D$125,0)+1))</f>
        <v>#NUM!</v>
      </c>
      <c r="D109" s="128">
        <f>IF(ISERROR(VLOOKUP($C109,'START LİSTE'!$B$6:$F$1025,2,0)),"",VLOOKUP($C109,'START LİSTE'!$B$6:$F$1025,2,0))</f>
      </c>
      <c r="E109" s="129">
        <f>IF(ISERROR(VLOOKUP($C109,'START LİSTE'!$B$6:$F$1025,4,0)),"",VLOOKUP($C109,'START LİSTE'!$B$6:$F$1025,4,0))</f>
      </c>
      <c r="F109" s="130">
        <f>IF(ISERROR(VLOOKUP($C109,'FERDİ SONUÇ'!$B$6:$H$1069,6,0)),"",VLOOKUP($C109,'FERDİ SONUÇ'!$B$6:$H$1069,6,0))</f>
      </c>
      <c r="G109" s="131" t="str">
        <f>IF(OR(E109="",F109="DQ",F109="DNF",F109="DNS",F109=""),"-",VLOOKUP(C109,'FERDİ SONUÇ'!$B$6:$H$1069,7,0))</f>
        <v>-</v>
      </c>
      <c r="H109" s="151"/>
      <c r="I109" s="151"/>
      <c r="J109" s="151"/>
      <c r="K109" s="147"/>
    </row>
    <row r="110" spans="1:11" ht="14.25">
      <c r="A110" s="118"/>
      <c r="B110" s="119"/>
      <c r="C110" s="120" t="e">
        <f>IF(A112="","",INDEX('TAKIM KAYIT'!$D$6:$D$125,MATCH(C112,'TAKIM KAYIT'!$D$6:$D$125,0)-2))</f>
        <v>#NUM!</v>
      </c>
      <c r="D110" s="121">
        <f>IF(ISERROR(VLOOKUP($C110,'START LİSTE'!$B$6:$F$1025,2,0)),"",VLOOKUP($C110,'START LİSTE'!$B$6:$F$1025,2,0))</f>
      </c>
      <c r="E110" s="122">
        <f>IF(ISERROR(VLOOKUP($C110,'START LİSTE'!$B$6:$F$1025,4,0)),"",VLOOKUP($C110,'START LİSTE'!$B$6:$F$1025,4,0))</f>
      </c>
      <c r="F110" s="123">
        <f>IF(ISERROR(VLOOKUP($C110,'FERDİ SONUÇ'!$B$6:$H$1069,6,0)),"",VLOOKUP($C110,'FERDİ SONUÇ'!$B$6:$H$1069,6,0))</f>
      </c>
      <c r="G110" s="124" t="str">
        <f>IF(OR(E110="",F110="DQ",F110="DNF",F110="DNS",F110=""),"-",VLOOKUP(C110,'FERDİ SONUÇ'!$B$6:$H$1069,7,0))</f>
        <v>-</v>
      </c>
      <c r="H110" s="150"/>
      <c r="I110" s="150"/>
      <c r="J110" s="150"/>
      <c r="K110" s="146"/>
    </row>
    <row r="111" spans="1:11" ht="14.25">
      <c r="A111" s="125"/>
      <c r="B111" s="126"/>
      <c r="C111" s="127" t="e">
        <f>IF(A112="","",INDEX('TAKIM KAYIT'!$D$6:$D$125,MATCH(C112,'TAKIM KAYIT'!$D$6:$D$125,0)-1))</f>
        <v>#NUM!</v>
      </c>
      <c r="D111" s="128">
        <f>IF(ISERROR(VLOOKUP($C111,'START LİSTE'!$B$6:$F$1025,2,0)),"",VLOOKUP($C111,'START LİSTE'!$B$6:$F$1025,2,0))</f>
      </c>
      <c r="E111" s="129">
        <f>IF(ISERROR(VLOOKUP($C111,'START LİSTE'!$B$6:$F$1025,4,0)),"",VLOOKUP($C111,'START LİSTE'!$B$6:$F$1025,4,0))</f>
      </c>
      <c r="F111" s="130">
        <f>IF(ISERROR(VLOOKUP($C111,'FERDİ SONUÇ'!$B$6:$H$1069,6,0)),"",VLOOKUP($C111,'FERDİ SONUÇ'!$B$6:$H$1069,6,0))</f>
      </c>
      <c r="G111" s="131" t="str">
        <f>IF(OR(E111="",F111="DQ",F111="DNF",F111="DNS",F111=""),"-",VLOOKUP(C111,'FERDİ SONUÇ'!$B$6:$H$1069,7,0))</f>
        <v>-</v>
      </c>
      <c r="H111" s="151"/>
      <c r="I111" s="151"/>
      <c r="J111" s="151"/>
      <c r="K111" s="147"/>
    </row>
    <row r="112" spans="1:11" ht="15.75">
      <c r="A112" s="125" t="e">
        <f>IF(ISERROR(SMALL('TAKIM KAYIT'!$A$6:$A$125,1)),"",SMALL('TAKIM KAYIT'!$A$6:$A$125,27))</f>
        <v>#NUM!</v>
      </c>
      <c r="B112" s="126" t="e">
        <f>IF(A112="","",VLOOKUP(A112,'TAKIM KAYIT'!$A$6:$O$1250,3,0))</f>
        <v>#NUM!</v>
      </c>
      <c r="C112" s="127" t="e">
        <f>IF(A112="","",VLOOKUP(A112,'TAKIM KAYIT'!$B$6:$O$125,3,FALSE))</f>
        <v>#NUM!</v>
      </c>
      <c r="D112" s="128">
        <f>IF(ISERROR(VLOOKUP($C112,'START LİSTE'!$B$6:$F$1025,2,0)),"",VLOOKUP($C112,'START LİSTE'!$B$6:$F$1025,2,0))</f>
      </c>
      <c r="E112" s="129">
        <f>IF(ISERROR(VLOOKUP($C112,'START LİSTE'!$B$6:$F$1025,4,0)),"",VLOOKUP($C112,'START LİSTE'!$B$6:$F$1025,4,0))</f>
      </c>
      <c r="F112" s="130">
        <f>IF(ISERROR(VLOOKUP($C112,'FERDİ SONUÇ'!$B$6:$H$1069,6,0)),"",VLOOKUP($C112,'FERDİ SONUÇ'!$B$6:$H$1069,6,0))</f>
      </c>
      <c r="G112" s="131" t="str">
        <f>IF(OR(E112="",F112="DQ",F112="DNF",F112="DNS",F112=""),"-",VLOOKUP(C112,'FERDİ SONUÇ'!$B$6:$H$1069,7,0))</f>
        <v>-</v>
      </c>
      <c r="H112" s="143" t="e">
        <f>IF(A112="","",VLOOKUP(A112,'TAKIM KAYIT'!$A$6:$T$1250,11,0))</f>
        <v>#NUM!</v>
      </c>
      <c r="I112" s="143" t="e">
        <f>IF(A112="","",VLOOKUP(A112,'TAKIM KAYIT'!$A$6:$T$1250,12,0))</f>
        <v>#NUM!</v>
      </c>
      <c r="J112" s="110" t="e">
        <f>IF(A112="","",VLOOKUP(A112,'TAKIM KAYIT'!$A$6:$T$1250,13,0))</f>
        <v>#NUM!</v>
      </c>
      <c r="K112" s="143" t="e">
        <f>IF(A112="","",VLOOKUP(A112,'TAKIM KAYIT'!$A$6:$T$1250,15,0))</f>
        <v>#NUM!</v>
      </c>
    </row>
    <row r="113" spans="1:11" ht="14.25">
      <c r="A113" s="125"/>
      <c r="B113" s="126"/>
      <c r="C113" s="127" t="e">
        <f>IF(A112="","",INDEX('TAKIM KAYIT'!$D$6:$D$125,MATCH(C112,'TAKIM KAYIT'!$D$6:$D$125,0)+1))</f>
        <v>#NUM!</v>
      </c>
      <c r="D113" s="128">
        <f>IF(ISERROR(VLOOKUP($C113,'START LİSTE'!$B$6:$F$1025,2,0)),"",VLOOKUP($C113,'START LİSTE'!$B$6:$F$1025,2,0))</f>
      </c>
      <c r="E113" s="129">
        <f>IF(ISERROR(VLOOKUP($C113,'START LİSTE'!$B$6:$F$1025,4,0)),"",VLOOKUP($C113,'START LİSTE'!$B$6:$F$1025,4,0))</f>
      </c>
      <c r="F113" s="130">
        <f>IF(ISERROR(VLOOKUP($C113,'FERDİ SONUÇ'!$B$6:$H$1069,6,0)),"",VLOOKUP($C113,'FERDİ SONUÇ'!$B$6:$H$1069,6,0))</f>
      </c>
      <c r="G113" s="131" t="str">
        <f>IF(OR(E113="",F113="DQ",F113="DNF",F113="DNS",F113=""),"-",VLOOKUP(C113,'FERDİ SONUÇ'!$B$6:$H$1069,7,0))</f>
        <v>-</v>
      </c>
      <c r="H113" s="151"/>
      <c r="I113" s="151"/>
      <c r="J113" s="151"/>
      <c r="K113" s="147"/>
    </row>
    <row r="114" spans="1:11" ht="14.25">
      <c r="A114" s="118"/>
      <c r="B114" s="119"/>
      <c r="C114" s="120" t="e">
        <f>IF(A116="","",INDEX('TAKIM KAYIT'!$D$6:$D$125,MATCH(C116,'TAKIM KAYIT'!$D$6:$D$125,0)-2))</f>
        <v>#NUM!</v>
      </c>
      <c r="D114" s="121">
        <f>IF(ISERROR(VLOOKUP($C114,'START LİSTE'!$B$6:$F$1025,2,0)),"",VLOOKUP($C114,'START LİSTE'!$B$6:$F$1025,2,0))</f>
      </c>
      <c r="E114" s="122">
        <f>IF(ISERROR(VLOOKUP($C114,'START LİSTE'!$B$6:$F$1025,4,0)),"",VLOOKUP($C114,'START LİSTE'!$B$6:$F$1025,4,0))</f>
      </c>
      <c r="F114" s="123">
        <f>IF(ISERROR(VLOOKUP($C114,'FERDİ SONUÇ'!$B$6:$H$1069,6,0)),"",VLOOKUP($C114,'FERDİ SONUÇ'!$B$6:$H$1069,6,0))</f>
      </c>
      <c r="G114" s="124" t="str">
        <f>IF(OR(E114="",F114="DQ",F114="DNF",F114="DNS",F114=""),"-",VLOOKUP(C114,'FERDİ SONUÇ'!$B$6:$H$1069,7,0))</f>
        <v>-</v>
      </c>
      <c r="H114" s="150"/>
      <c r="I114" s="150"/>
      <c r="J114" s="150"/>
      <c r="K114" s="146"/>
    </row>
    <row r="115" spans="1:11" ht="14.25">
      <c r="A115" s="125"/>
      <c r="B115" s="126"/>
      <c r="C115" s="127" t="e">
        <f>IF(A116="","",INDEX('TAKIM KAYIT'!$D$6:$D$125,MATCH(C116,'TAKIM KAYIT'!$D$6:$D$125,0)-1))</f>
        <v>#NUM!</v>
      </c>
      <c r="D115" s="128">
        <f>IF(ISERROR(VLOOKUP($C115,'START LİSTE'!$B$6:$F$1025,2,0)),"",VLOOKUP($C115,'START LİSTE'!$B$6:$F$1025,2,0))</f>
      </c>
      <c r="E115" s="129">
        <f>IF(ISERROR(VLOOKUP($C115,'START LİSTE'!$B$6:$F$1025,4,0)),"",VLOOKUP($C115,'START LİSTE'!$B$6:$F$1025,4,0))</f>
      </c>
      <c r="F115" s="130">
        <f>IF(ISERROR(VLOOKUP($C115,'FERDİ SONUÇ'!$B$6:$H$1069,6,0)),"",VLOOKUP($C115,'FERDİ SONUÇ'!$B$6:$H$1069,6,0))</f>
      </c>
      <c r="G115" s="131" t="str">
        <f>IF(OR(E115="",F115="DQ",F115="DNF",F115="DNS",F115=""),"-",VLOOKUP(C115,'FERDİ SONUÇ'!$B$6:$H$1069,7,0))</f>
        <v>-</v>
      </c>
      <c r="H115" s="151"/>
      <c r="I115" s="151"/>
      <c r="J115" s="151"/>
      <c r="K115" s="147"/>
    </row>
    <row r="116" spans="1:11" ht="15.75">
      <c r="A116" s="125" t="e">
        <f>IF(ISERROR(SMALL('TAKIM KAYIT'!$A$6:$A$125,1)),"",SMALL('TAKIM KAYIT'!$A$6:$A$125,28))</f>
        <v>#NUM!</v>
      </c>
      <c r="B116" s="126" t="e">
        <f>IF(A116="","",VLOOKUP(A116,'TAKIM KAYIT'!$A$6:$O$1250,3,0))</f>
        <v>#NUM!</v>
      </c>
      <c r="C116" s="127" t="e">
        <f>IF(A116="","",VLOOKUP(A116,'TAKIM KAYIT'!$B$6:$O$125,3,FALSE))</f>
        <v>#NUM!</v>
      </c>
      <c r="D116" s="128">
        <f>IF(ISERROR(VLOOKUP($C116,'START LİSTE'!$B$6:$F$1025,2,0)),"",VLOOKUP($C116,'START LİSTE'!$B$6:$F$1025,2,0))</f>
      </c>
      <c r="E116" s="129">
        <f>IF(ISERROR(VLOOKUP($C116,'START LİSTE'!$B$6:$F$1025,4,0)),"",VLOOKUP($C116,'START LİSTE'!$B$6:$F$1025,4,0))</f>
      </c>
      <c r="F116" s="130">
        <f>IF(ISERROR(VLOOKUP($C116,'FERDİ SONUÇ'!$B$6:$H$1069,6,0)),"",VLOOKUP($C116,'FERDİ SONUÇ'!$B$6:$H$1069,6,0))</f>
      </c>
      <c r="G116" s="131" t="str">
        <f>IF(OR(E116="",F116="DQ",F116="DNF",F116="DNS",F116=""),"-",VLOOKUP(C116,'FERDİ SONUÇ'!$B$6:$H$1069,7,0))</f>
        <v>-</v>
      </c>
      <c r="H116" s="143" t="e">
        <f>IF(A116="","",VLOOKUP(A116,'TAKIM KAYIT'!$A$6:$T$1250,11,0))</f>
        <v>#NUM!</v>
      </c>
      <c r="I116" s="143" t="e">
        <f>IF(A116="","",VLOOKUP(A116,'TAKIM KAYIT'!$A$6:$T$1250,12,0))</f>
        <v>#NUM!</v>
      </c>
      <c r="J116" s="110" t="e">
        <f>IF(A116="","",VLOOKUP(A116,'TAKIM KAYIT'!$A$6:$T$1250,13,0))</f>
        <v>#NUM!</v>
      </c>
      <c r="K116" s="143" t="e">
        <f>IF(A116="","",VLOOKUP(A116,'TAKIM KAYIT'!$A$6:$T$1250,15,0))</f>
        <v>#NUM!</v>
      </c>
    </row>
    <row r="117" spans="1:11" ht="14.25">
      <c r="A117" s="125"/>
      <c r="B117" s="126"/>
      <c r="C117" s="127" t="e">
        <f>IF(A116="","",INDEX('TAKIM KAYIT'!$D$6:$D$125,MATCH(C116,'TAKIM KAYIT'!$D$6:$D$125,0)+1))</f>
        <v>#NUM!</v>
      </c>
      <c r="D117" s="128">
        <f>IF(ISERROR(VLOOKUP($C117,'START LİSTE'!$B$6:$F$1025,2,0)),"",VLOOKUP($C117,'START LİSTE'!$B$6:$F$1025,2,0))</f>
      </c>
      <c r="E117" s="129">
        <f>IF(ISERROR(VLOOKUP($C117,'START LİSTE'!$B$6:$F$1025,4,0)),"",VLOOKUP($C117,'START LİSTE'!$B$6:$F$1025,4,0))</f>
      </c>
      <c r="F117" s="130">
        <f>IF(ISERROR(VLOOKUP($C117,'FERDİ SONUÇ'!$B$6:$H$1069,6,0)),"",VLOOKUP($C117,'FERDİ SONUÇ'!$B$6:$H$1069,6,0))</f>
      </c>
      <c r="G117" s="131" t="str">
        <f>IF(OR(E117="",F117="DQ",F117="DNF",F117="DNS",F117=""),"-",VLOOKUP(C117,'FERDİ SONUÇ'!$B$6:$H$1069,7,0))</f>
        <v>-</v>
      </c>
      <c r="H117" s="151"/>
      <c r="I117" s="151"/>
      <c r="J117" s="151"/>
      <c r="K117" s="147"/>
    </row>
    <row r="118" spans="1:11" ht="14.25">
      <c r="A118" s="118"/>
      <c r="B118" s="119"/>
      <c r="C118" s="120" t="e">
        <f>IF(A120="","",INDEX('TAKIM KAYIT'!$D$6:$D$125,MATCH(C120,'TAKIM KAYIT'!$D$6:$D$125,0)-2))</f>
        <v>#NUM!</v>
      </c>
      <c r="D118" s="121">
        <f>IF(ISERROR(VLOOKUP($C118,'START LİSTE'!$B$6:$F$1025,2,0)),"",VLOOKUP($C118,'START LİSTE'!$B$6:$F$1025,2,0))</f>
      </c>
      <c r="E118" s="122">
        <f>IF(ISERROR(VLOOKUP($C118,'START LİSTE'!$B$6:$F$1025,4,0)),"",VLOOKUP($C118,'START LİSTE'!$B$6:$F$1025,4,0))</f>
      </c>
      <c r="F118" s="123">
        <f>IF(ISERROR(VLOOKUP($C118,'FERDİ SONUÇ'!$B$6:$H$1069,6,0)),"",VLOOKUP($C118,'FERDİ SONUÇ'!$B$6:$H$1069,6,0))</f>
      </c>
      <c r="G118" s="124" t="str">
        <f>IF(OR(E118="",F118="DQ",F118="DNF",F118="DNS",F118=""),"-",VLOOKUP(C118,'FERDİ SONUÇ'!$B$6:$H$1069,7,0))</f>
        <v>-</v>
      </c>
      <c r="H118" s="150"/>
      <c r="I118" s="150"/>
      <c r="J118" s="150"/>
      <c r="K118" s="146"/>
    </row>
    <row r="119" spans="1:11" ht="14.25">
      <c r="A119" s="125"/>
      <c r="B119" s="126"/>
      <c r="C119" s="127" t="e">
        <f>IF(A120="","",INDEX('TAKIM KAYIT'!$D$6:$D$125,MATCH(C120,'TAKIM KAYIT'!$D$6:$D$125,0)-1))</f>
        <v>#NUM!</v>
      </c>
      <c r="D119" s="128">
        <f>IF(ISERROR(VLOOKUP($C119,'START LİSTE'!$B$6:$F$1025,2,0)),"",VLOOKUP($C119,'START LİSTE'!$B$6:$F$1025,2,0))</f>
      </c>
      <c r="E119" s="129">
        <f>IF(ISERROR(VLOOKUP($C119,'START LİSTE'!$B$6:$F$1025,4,0)),"",VLOOKUP($C119,'START LİSTE'!$B$6:$F$1025,4,0))</f>
      </c>
      <c r="F119" s="130">
        <f>IF(ISERROR(VLOOKUP($C119,'FERDİ SONUÇ'!$B$6:$H$1069,6,0)),"",VLOOKUP($C119,'FERDİ SONUÇ'!$B$6:$H$1069,6,0))</f>
      </c>
      <c r="G119" s="131" t="str">
        <f>IF(OR(E119="",F119="DQ",F119="DNF",F119="DNS",F119=""),"-",VLOOKUP(C119,'FERDİ SONUÇ'!$B$6:$H$1069,7,0))</f>
        <v>-</v>
      </c>
      <c r="H119" s="151"/>
      <c r="I119" s="151"/>
      <c r="J119" s="151"/>
      <c r="K119" s="147"/>
    </row>
    <row r="120" spans="1:11" ht="15.75">
      <c r="A120" s="125" t="e">
        <f>IF(ISERROR(SMALL('TAKIM KAYIT'!$A$6:$A$125,1)),"",SMALL('TAKIM KAYIT'!$A$6:$A$125,29))</f>
        <v>#NUM!</v>
      </c>
      <c r="B120" s="126" t="e">
        <f>IF(A120="","",VLOOKUP(A120,'TAKIM KAYIT'!$A$6:$O$1250,3,0))</f>
        <v>#NUM!</v>
      </c>
      <c r="C120" s="127" t="e">
        <f>IF(A120="","",VLOOKUP(A120,'TAKIM KAYIT'!$B$6:$O$125,3,FALSE))</f>
        <v>#NUM!</v>
      </c>
      <c r="D120" s="128">
        <f>IF(ISERROR(VLOOKUP($C120,'START LİSTE'!$B$6:$F$1025,2,0)),"",VLOOKUP($C120,'START LİSTE'!$B$6:$F$1025,2,0))</f>
      </c>
      <c r="E120" s="129">
        <f>IF(ISERROR(VLOOKUP($C120,'START LİSTE'!$B$6:$F$1025,4,0)),"",VLOOKUP($C120,'START LİSTE'!$B$6:$F$1025,4,0))</f>
      </c>
      <c r="F120" s="130">
        <f>IF(ISERROR(VLOOKUP($C120,'FERDİ SONUÇ'!$B$6:$H$1069,6,0)),"",VLOOKUP($C120,'FERDİ SONUÇ'!$B$6:$H$1069,6,0))</f>
      </c>
      <c r="G120" s="131" t="str">
        <f>IF(OR(E120="",F120="DQ",F120="DNF",F120="DNS",F120=""),"-",VLOOKUP(C120,'FERDİ SONUÇ'!$B$6:$H$1069,7,0))</f>
        <v>-</v>
      </c>
      <c r="H120" s="143" t="e">
        <f>IF(A120="","",VLOOKUP(A120,'TAKIM KAYIT'!$A$6:$T$1250,11,0))</f>
        <v>#NUM!</v>
      </c>
      <c r="I120" s="143" t="e">
        <f>IF(A120="","",VLOOKUP(A120,'TAKIM KAYIT'!$A$6:$T$1250,12,0))</f>
        <v>#NUM!</v>
      </c>
      <c r="J120" s="110" t="e">
        <f>IF(A120="","",VLOOKUP(A120,'TAKIM KAYIT'!$A$6:$T$1250,13,0))</f>
        <v>#NUM!</v>
      </c>
      <c r="K120" s="143" t="e">
        <f>IF(A120="","",VLOOKUP(A120,'TAKIM KAYIT'!$A$6:$T$1250,15,0))</f>
        <v>#NUM!</v>
      </c>
    </row>
    <row r="121" spans="1:11" ht="14.25">
      <c r="A121" s="125"/>
      <c r="B121" s="126"/>
      <c r="C121" s="127" t="e">
        <f>IF(A120="","",INDEX('TAKIM KAYIT'!$D$6:$D$125,MATCH(C120,'TAKIM KAYIT'!$D$6:$D$125,0)+1))</f>
        <v>#NUM!</v>
      </c>
      <c r="D121" s="128">
        <f>IF(ISERROR(VLOOKUP($C121,'START LİSTE'!$B$6:$F$1025,2,0)),"",VLOOKUP($C121,'START LİSTE'!$B$6:$F$1025,2,0))</f>
      </c>
      <c r="E121" s="129">
        <f>IF(ISERROR(VLOOKUP($C121,'START LİSTE'!$B$6:$F$1025,4,0)),"",VLOOKUP($C121,'START LİSTE'!$B$6:$F$1025,4,0))</f>
      </c>
      <c r="F121" s="130">
        <f>IF(ISERROR(VLOOKUP($C121,'FERDİ SONUÇ'!$B$6:$H$1069,6,0)),"",VLOOKUP($C121,'FERDİ SONUÇ'!$B$6:$H$1069,6,0))</f>
      </c>
      <c r="G121" s="131" t="str">
        <f>IF(OR(E121="",F121="DQ",F121="DNF",F121="DNS",F121=""),"-",VLOOKUP(C121,'FERDİ SONUÇ'!$B$6:$H$1069,7,0))</f>
        <v>-</v>
      </c>
      <c r="H121" s="151"/>
      <c r="I121" s="151"/>
      <c r="J121" s="151"/>
      <c r="K121" s="147"/>
    </row>
    <row r="122" spans="1:11" ht="14.25">
      <c r="A122" s="118"/>
      <c r="B122" s="119"/>
      <c r="C122" s="120" t="e">
        <f>IF(A124="","",INDEX('TAKIM KAYIT'!$D$6:$D$125,MATCH(C124,'TAKIM KAYIT'!$D$6:$D$125,0)-2))</f>
        <v>#NUM!</v>
      </c>
      <c r="D122" s="121">
        <f>IF(ISERROR(VLOOKUP($C122,'START LİSTE'!$B$6:$F$1025,2,0)),"",VLOOKUP($C122,'START LİSTE'!$B$6:$F$1025,2,0))</f>
      </c>
      <c r="E122" s="122">
        <f>IF(ISERROR(VLOOKUP($C122,'START LİSTE'!$B$6:$F$1025,4,0)),"",VLOOKUP($C122,'START LİSTE'!$B$6:$F$1025,4,0))</f>
      </c>
      <c r="F122" s="123">
        <f>IF(ISERROR(VLOOKUP($C122,'FERDİ SONUÇ'!$B$6:$H$1069,6,0)),"",VLOOKUP($C122,'FERDİ SONUÇ'!$B$6:$H$1069,6,0))</f>
      </c>
      <c r="G122" s="124" t="str">
        <f>IF(OR(E122="",F122="DQ",F122="DNF",F122="DNS",F122=""),"-",VLOOKUP(C122,'FERDİ SONUÇ'!$B$6:$H$1069,7,0))</f>
        <v>-</v>
      </c>
      <c r="H122" s="150"/>
      <c r="I122" s="150"/>
      <c r="J122" s="150"/>
      <c r="K122" s="146"/>
    </row>
    <row r="123" spans="1:11" ht="14.25">
      <c r="A123" s="125"/>
      <c r="B123" s="126"/>
      <c r="C123" s="127" t="e">
        <f>IF(A124="","",INDEX('TAKIM KAYIT'!$D$6:$D$125,MATCH(C124,'TAKIM KAYIT'!$D$6:$D$125,0)-1))</f>
        <v>#NUM!</v>
      </c>
      <c r="D123" s="128">
        <f>IF(ISERROR(VLOOKUP($C123,'START LİSTE'!$B$6:$F$1025,2,0)),"",VLOOKUP($C123,'START LİSTE'!$B$6:$F$1025,2,0))</f>
      </c>
      <c r="E123" s="129">
        <f>IF(ISERROR(VLOOKUP($C123,'START LİSTE'!$B$6:$F$1025,4,0)),"",VLOOKUP($C123,'START LİSTE'!$B$6:$F$1025,4,0))</f>
      </c>
      <c r="F123" s="130">
        <f>IF(ISERROR(VLOOKUP($C123,'FERDİ SONUÇ'!$B$6:$H$1069,6,0)),"",VLOOKUP($C123,'FERDİ SONUÇ'!$B$6:$H$1069,6,0))</f>
      </c>
      <c r="G123" s="131" t="str">
        <f>IF(OR(E123="",F123="DQ",F123="DNF",F123="DNS",F123=""),"-",VLOOKUP(C123,'FERDİ SONUÇ'!$B$6:$H$1069,7,0))</f>
        <v>-</v>
      </c>
      <c r="H123" s="151"/>
      <c r="I123" s="151"/>
      <c r="J123" s="151"/>
      <c r="K123" s="147"/>
    </row>
    <row r="124" spans="1:11" ht="15.75">
      <c r="A124" s="125" t="e">
        <f>IF(ISERROR(SMALL('TAKIM KAYIT'!$A$6:$A$125,1)),"",SMALL('TAKIM KAYIT'!$A$6:$A$125,30))</f>
        <v>#NUM!</v>
      </c>
      <c r="B124" s="126" t="e">
        <f>IF(A124="","",VLOOKUP(A124,'TAKIM KAYIT'!$A$6:$O$1250,3,0))</f>
        <v>#NUM!</v>
      </c>
      <c r="C124" s="127" t="e">
        <f>IF(A124="","",VLOOKUP(A124,'TAKIM KAYIT'!$B$6:$O$125,3,FALSE))</f>
        <v>#NUM!</v>
      </c>
      <c r="D124" s="128">
        <f>IF(ISERROR(VLOOKUP($C124,'START LİSTE'!$B$6:$F$1025,2,0)),"",VLOOKUP($C124,'START LİSTE'!$B$6:$F$1025,2,0))</f>
      </c>
      <c r="E124" s="129">
        <f>IF(ISERROR(VLOOKUP($C124,'START LİSTE'!$B$6:$F$1025,4,0)),"",VLOOKUP($C124,'START LİSTE'!$B$6:$F$1025,4,0))</f>
      </c>
      <c r="F124" s="130">
        <f>IF(ISERROR(VLOOKUP($C124,'FERDİ SONUÇ'!$B$6:$H$1069,6,0)),"",VLOOKUP($C124,'FERDİ SONUÇ'!$B$6:$H$1069,6,0))</f>
      </c>
      <c r="G124" s="131" t="str">
        <f>IF(OR(E124="",F124="DQ",F124="DNF",F124="DNS",F124=""),"-",VLOOKUP(C124,'FERDİ SONUÇ'!$B$6:$H$1069,7,0))</f>
        <v>-</v>
      </c>
      <c r="H124" s="143" t="e">
        <f>IF(A124="","",VLOOKUP(A124,'TAKIM KAYIT'!$A$6:$T$1250,11,0))</f>
        <v>#NUM!</v>
      </c>
      <c r="I124" s="143" t="e">
        <f>IF(A124="","",VLOOKUP(A124,'TAKIM KAYIT'!$A$6:$T$1250,12,0))</f>
        <v>#NUM!</v>
      </c>
      <c r="J124" s="110" t="e">
        <f>IF(A124="","",VLOOKUP(A124,'TAKIM KAYIT'!$A$6:$T$1250,13,0))</f>
        <v>#NUM!</v>
      </c>
      <c r="K124" s="143" t="e">
        <f>IF(A124="","",VLOOKUP(A124,'TAKIM KAYIT'!$A$6:$T$1250,15,0))</f>
        <v>#NUM!</v>
      </c>
    </row>
    <row r="125" spans="1:11" ht="14.25">
      <c r="A125" s="125"/>
      <c r="B125" s="126"/>
      <c r="C125" s="127" t="e">
        <f>IF(A124="","",INDEX('TAKIM KAYIT'!$D$6:$D$125,MATCH(C124,'TAKIM KAYIT'!$D$6:$D$125,0)+1))</f>
        <v>#NUM!</v>
      </c>
      <c r="D125" s="128">
        <f>IF(ISERROR(VLOOKUP($C125,'START LİSTE'!$B$6:$F$1025,2,0)),"",VLOOKUP($C125,'START LİSTE'!$B$6:$F$1025,2,0))</f>
      </c>
      <c r="E125" s="129">
        <f>IF(ISERROR(VLOOKUP($C125,'START LİSTE'!$B$6:$F$1025,4,0)),"",VLOOKUP($C125,'START LİSTE'!$B$6:$F$1025,4,0))</f>
      </c>
      <c r="F125" s="130">
        <f>IF(ISERROR(VLOOKUP($C125,'FERDİ SONUÇ'!$B$6:$H$1069,6,0)),"",VLOOKUP($C125,'FERDİ SONUÇ'!$B$6:$H$1069,6,0))</f>
      </c>
      <c r="G125" s="131" t="str">
        <f>IF(OR(E125="",F125="DQ",F125="DNF",F125="DNS",F125=""),"-",VLOOKUP(C125,'FERDİ SONUÇ'!$B$6:$H$1069,7,0))</f>
        <v>-</v>
      </c>
      <c r="H125" s="151"/>
      <c r="I125" s="151"/>
      <c r="J125" s="151"/>
      <c r="K125" s="147"/>
    </row>
  </sheetData>
  <sheetProtection password="CC79" sheet="1"/>
  <mergeCells count="6">
    <mergeCell ref="A1:K1"/>
    <mergeCell ref="A2:K2"/>
    <mergeCell ref="C3:D3"/>
    <mergeCell ref="C4:D4"/>
    <mergeCell ref="F4:K4"/>
    <mergeCell ref="A4:B4"/>
  </mergeCells>
  <conditionalFormatting sqref="B5">
    <cfRule type="duplicateValues" priority="136" dxfId="662" stopIfTrue="1">
      <formula>AND(COUNTIF($B$5:$B$5,B5)&gt;1,NOT(ISBLANK(B5)))</formula>
    </cfRule>
  </conditionalFormatting>
  <conditionalFormatting sqref="A6:A7 A9:A125">
    <cfRule type="cellIs" priority="134" dxfId="663" operator="greaterThan">
      <formula>1000</formula>
    </cfRule>
    <cfRule type="cellIs" priority="135" dxfId="662" operator="greaterThan">
      <formula>"&gt;1000"</formula>
    </cfRule>
  </conditionalFormatting>
  <conditionalFormatting sqref="H8">
    <cfRule type="duplicateValues" priority="133" dxfId="1" stopIfTrue="1">
      <formula>AND(COUNTIF($H$8:$H$8,H8)&gt;1,NOT(ISBLANK(H8)))</formula>
    </cfRule>
  </conditionalFormatting>
  <conditionalFormatting sqref="I8">
    <cfRule type="duplicateValues" priority="132" dxfId="1" stopIfTrue="1">
      <formula>AND(COUNTIF($I$8:$I$8,I8)&gt;1,NOT(ISBLANK(I8)))</formula>
    </cfRule>
  </conditionalFormatting>
  <conditionalFormatting sqref="J8">
    <cfRule type="duplicateValues" priority="131" dxfId="1" stopIfTrue="1">
      <formula>AND(COUNTIF($J$8:$J$8,J8)&gt;1,NOT(ISBLANK(J8)))</formula>
    </cfRule>
  </conditionalFormatting>
  <conditionalFormatting sqref="K6:K11 K13:K15 K17:K19 K21:K23 K25:K27 K29:K31 K33:K35 K37:K39 K41:K43 K45:K47 K49:K51 K53:K55 K57:K59 K61:K63 K65:K67 K69:K71 K73:K75 K77:K79 K81:K83 K85:K87 K89:K91 K93:K95 K97:K99 K101:K103 K105:K107 K109:K111 K113:K115 K117:K119 K121:K123 K125">
    <cfRule type="duplicateValues" priority="137" dxfId="1" stopIfTrue="1">
      <formula>AND(COUNTIF($K$6:$K$11,K6)+COUNTIF($K$13:$K$15,K6)+COUNTIF($K$17:$K$19,K6)+COUNTIF($K$21:$K$23,K6)+COUNTIF($K$25:$K$27,K6)+COUNTIF($K$29:$K$31,K6)+COUNTIF($K$33:$K$35,K6)+COUNTIF($K$37:$K$39,K6)+COUNTIF($K$41:$K$43,K6)+COUNTIF($K$45:$K$47,K6)+COUNTIF($K$49:$K$51,K6)+COUNTIF($K$53:$K$55,K6)+COUNTIF($K$57:$K$59,K6)+COUNTIF($K$61:$K$63,K6)+COUNTIF($K$65:$K$67,K6)+COUNTIF($K$69:$K$71,K6)+COUNTIF($K$73:$K$75,K6)+COUNTIF($K$77:$K$79,K6)+COUNTIF($K$81:$K$83,K6)+COUNTIF($K$85:$K$87,K6)+COUNTIF($K$89:$K$91,K6)+COUNTIF($K$93:$K$95,K6)+COUNTIF($K$97:$K$99,K6)+COUNTIF($K$101:$K$103,K6)+COUNTIF($K$105:$K$107,K6)+COUNTIF($K$109:$K$111,K6)+COUNTIF($K$113:$K$115,K6)+COUNTIF($K$117:$K$119,K6)+COUNTIF($K$121:$K$123,K6)+COUNTIF($K$125:$K$125,K6)&gt;1,NOT(ISBLANK(K6)))</formula>
    </cfRule>
  </conditionalFormatting>
  <conditionalFormatting sqref="A8">
    <cfRule type="cellIs" priority="30" dxfId="663" operator="greaterThan">
      <formula>1000</formula>
    </cfRule>
    <cfRule type="cellIs" priority="31" dxfId="662" operator="greaterThan">
      <formula>"&gt;1000"</formula>
    </cfRule>
  </conditionalFormatting>
  <conditionalFormatting sqref="H20 H16 H12">
    <cfRule type="duplicateValues" priority="28" dxfId="1" stopIfTrue="1">
      <formula>AND(COUNTIF($H$20:$H$20,H12)+COUNTIF($H$16:$H$16,H12)+COUNTIF($H$12:$H$12,H12)&gt;1,NOT(ISBLANK(H12)))</formula>
    </cfRule>
  </conditionalFormatting>
  <conditionalFormatting sqref="I20 I16 I12">
    <cfRule type="duplicateValues" priority="27" dxfId="1" stopIfTrue="1">
      <formula>AND(COUNTIF($I$20:$I$20,I12)+COUNTIF($I$16:$I$16,I12)+COUNTIF($I$12:$I$12,I12)&gt;1,NOT(ISBLANK(I12)))</formula>
    </cfRule>
  </conditionalFormatting>
  <conditionalFormatting sqref="J20 J16 J12">
    <cfRule type="duplicateValues" priority="26" dxfId="1" stopIfTrue="1">
      <formula>AND(COUNTIF($J$20:$J$20,J12)+COUNTIF($J$16:$J$16,J12)+COUNTIF($J$12:$J$12,J12)&gt;1,NOT(ISBLANK(J12)))</formula>
    </cfRule>
  </conditionalFormatting>
  <conditionalFormatting sqref="K20 K16 K12">
    <cfRule type="duplicateValues" priority="29" dxfId="1" stopIfTrue="1">
      <formula>AND(COUNTIF($K$20:$K$20,K12)+COUNTIF($K$16:$K$16,K12)+COUNTIF($K$12:$K$12,K12)&gt;1,NOT(ISBLANK(K12)))</formula>
    </cfRule>
  </conditionalFormatting>
  <conditionalFormatting sqref="H36 H32 H28 H24">
    <cfRule type="duplicateValues" priority="24" dxfId="1" stopIfTrue="1">
      <formula>AND(COUNTIF($H$36:$H$36,H24)+COUNTIF($H$32:$H$32,H24)+COUNTIF($H$28:$H$28,H24)+COUNTIF($H$24:$H$24,H24)&gt;1,NOT(ISBLANK(H24)))</formula>
    </cfRule>
  </conditionalFormatting>
  <conditionalFormatting sqref="I36 I32 I28 I24">
    <cfRule type="duplicateValues" priority="23" dxfId="1" stopIfTrue="1">
      <formula>AND(COUNTIF($I$36:$I$36,I24)+COUNTIF($I$32:$I$32,I24)+COUNTIF($I$28:$I$28,I24)+COUNTIF($I$24:$I$24,I24)&gt;1,NOT(ISBLANK(I24)))</formula>
    </cfRule>
  </conditionalFormatting>
  <conditionalFormatting sqref="J36 J32 J28 J24">
    <cfRule type="duplicateValues" priority="22" dxfId="1" stopIfTrue="1">
      <formula>AND(COUNTIF($J$36:$J$36,J24)+COUNTIF($J$32:$J$32,J24)+COUNTIF($J$28:$J$28,J24)+COUNTIF($J$24:$J$24,J24)&gt;1,NOT(ISBLANK(J24)))</formula>
    </cfRule>
  </conditionalFormatting>
  <conditionalFormatting sqref="K36 K32 K28 K24">
    <cfRule type="duplicateValues" priority="25" dxfId="1" stopIfTrue="1">
      <formula>AND(COUNTIF($K$36:$K$36,K24)+COUNTIF($K$32:$K$32,K24)+COUNTIF($K$28:$K$28,K24)+COUNTIF($K$24:$K$24,K24)&gt;1,NOT(ISBLANK(K24)))</formula>
    </cfRule>
  </conditionalFormatting>
  <conditionalFormatting sqref="H56 H52 H48 H44 H40">
    <cfRule type="duplicateValues" priority="20" dxfId="1" stopIfTrue="1">
      <formula>AND(COUNTIF($H$56:$H$56,H40)+COUNTIF($H$52:$H$52,H40)+COUNTIF($H$48:$H$48,H40)+COUNTIF($H$44:$H$44,H40)+COUNTIF($H$40:$H$40,H40)&gt;1,NOT(ISBLANK(H40)))</formula>
    </cfRule>
  </conditionalFormatting>
  <conditionalFormatting sqref="I56 I52 I48 I44 I40">
    <cfRule type="duplicateValues" priority="19" dxfId="1" stopIfTrue="1">
      <formula>AND(COUNTIF($I$56:$I$56,I40)+COUNTIF($I$52:$I$52,I40)+COUNTIF($I$48:$I$48,I40)+COUNTIF($I$44:$I$44,I40)+COUNTIF($I$40:$I$40,I40)&gt;1,NOT(ISBLANK(I40)))</formula>
    </cfRule>
  </conditionalFormatting>
  <conditionalFormatting sqref="J56 J52 J48 J44 J40">
    <cfRule type="duplicateValues" priority="18" dxfId="1" stopIfTrue="1">
      <formula>AND(COUNTIF($J$56:$J$56,J40)+COUNTIF($J$52:$J$52,J40)+COUNTIF($J$48:$J$48,J40)+COUNTIF($J$44:$J$44,J40)+COUNTIF($J$40:$J$40,J40)&gt;1,NOT(ISBLANK(J40)))</formula>
    </cfRule>
  </conditionalFormatting>
  <conditionalFormatting sqref="K56 K52 K48 K44 K40">
    <cfRule type="duplicateValues" priority="21" dxfId="1" stopIfTrue="1">
      <formula>AND(COUNTIF($K$56:$K$56,K40)+COUNTIF($K$52:$K$52,K40)+COUNTIF($K$48:$K$48,K40)+COUNTIF($K$44:$K$44,K40)+COUNTIF($K$40:$K$40,K40)&gt;1,NOT(ISBLANK(K40)))</formula>
    </cfRule>
  </conditionalFormatting>
  <conditionalFormatting sqref="H76 H72 H68 H64 H60">
    <cfRule type="duplicateValues" priority="16" dxfId="1" stopIfTrue="1">
      <formula>AND(COUNTIF($H$76:$H$76,H60)+COUNTIF($H$72:$H$72,H60)+COUNTIF($H$68:$H$68,H60)+COUNTIF($H$64:$H$64,H60)+COUNTIF($H$60:$H$60,H60)&gt;1,NOT(ISBLANK(H60)))</formula>
    </cfRule>
  </conditionalFormatting>
  <conditionalFormatting sqref="I76 I72 I68 I64 I60">
    <cfRule type="duplicateValues" priority="15" dxfId="1" stopIfTrue="1">
      <formula>AND(COUNTIF($I$76:$I$76,I60)+COUNTIF($I$72:$I$72,I60)+COUNTIF($I$68:$I$68,I60)+COUNTIF($I$64:$I$64,I60)+COUNTIF($I$60:$I$60,I60)&gt;1,NOT(ISBLANK(I60)))</formula>
    </cfRule>
  </conditionalFormatting>
  <conditionalFormatting sqref="J76 J72 J68 J64 J60">
    <cfRule type="duplicateValues" priority="14" dxfId="1" stopIfTrue="1">
      <formula>AND(COUNTIF($J$76:$J$76,J60)+COUNTIF($J$72:$J$72,J60)+COUNTIF($J$68:$J$68,J60)+COUNTIF($J$64:$J$64,J60)+COUNTIF($J$60:$J$60,J60)&gt;1,NOT(ISBLANK(J60)))</formula>
    </cfRule>
  </conditionalFormatting>
  <conditionalFormatting sqref="K76 K72 K68 K64 K60">
    <cfRule type="duplicateValues" priority="17" dxfId="1" stopIfTrue="1">
      <formula>AND(COUNTIF($K$76:$K$76,K60)+COUNTIF($K$72:$K$72,K60)+COUNTIF($K$68:$K$68,K60)+COUNTIF($K$64:$K$64,K60)+COUNTIF($K$60:$K$60,K60)&gt;1,NOT(ISBLANK(K60)))</formula>
    </cfRule>
  </conditionalFormatting>
  <conditionalFormatting sqref="H92 H88 H84 H80">
    <cfRule type="duplicateValues" priority="12" dxfId="1" stopIfTrue="1">
      <formula>AND(COUNTIF($H$92:$H$92,H80)+COUNTIF($H$88:$H$88,H80)+COUNTIF($H$84:$H$84,H80)+COUNTIF($H$80:$H$80,H80)&gt;1,NOT(ISBLANK(H80)))</formula>
    </cfRule>
  </conditionalFormatting>
  <conditionalFormatting sqref="I92 I88 I84 I80">
    <cfRule type="duplicateValues" priority="11" dxfId="1" stopIfTrue="1">
      <formula>AND(COUNTIF($I$92:$I$92,I80)+COUNTIF($I$88:$I$88,I80)+COUNTIF($I$84:$I$84,I80)+COUNTIF($I$80:$I$80,I80)&gt;1,NOT(ISBLANK(I80)))</formula>
    </cfRule>
  </conditionalFormatting>
  <conditionalFormatting sqref="J92 J88 J84 J80">
    <cfRule type="duplicateValues" priority="10" dxfId="1" stopIfTrue="1">
      <formula>AND(COUNTIF($J$92:$J$92,J80)+COUNTIF($J$88:$J$88,J80)+COUNTIF($J$84:$J$84,J80)+COUNTIF($J$80:$J$80,J80)&gt;1,NOT(ISBLANK(J80)))</formula>
    </cfRule>
  </conditionalFormatting>
  <conditionalFormatting sqref="K92 K88 K84 K80">
    <cfRule type="duplicateValues" priority="13" dxfId="1" stopIfTrue="1">
      <formula>AND(COUNTIF($K$92:$K$92,K80)+COUNTIF($K$88:$K$88,K80)+COUNTIF($K$84:$K$84,K80)+COUNTIF($K$80:$K$80,K80)&gt;1,NOT(ISBLANK(K80)))</formula>
    </cfRule>
  </conditionalFormatting>
  <conditionalFormatting sqref="H112 H108 H104 H100 H96">
    <cfRule type="duplicateValues" priority="8" dxfId="1" stopIfTrue="1">
      <formula>AND(COUNTIF($H$112:$H$112,H96)+COUNTIF($H$108:$H$108,H96)+COUNTIF($H$104:$H$104,H96)+COUNTIF($H$100:$H$100,H96)+COUNTIF($H$96:$H$96,H96)&gt;1,NOT(ISBLANK(H96)))</formula>
    </cfRule>
  </conditionalFormatting>
  <conditionalFormatting sqref="I112 I108 I104 I100 I96">
    <cfRule type="duplicateValues" priority="7" dxfId="1" stopIfTrue="1">
      <formula>AND(COUNTIF($I$112:$I$112,I96)+COUNTIF($I$108:$I$108,I96)+COUNTIF($I$104:$I$104,I96)+COUNTIF($I$100:$I$100,I96)+COUNTIF($I$96:$I$96,I96)&gt;1,NOT(ISBLANK(I96)))</formula>
    </cfRule>
  </conditionalFormatting>
  <conditionalFormatting sqref="J112 J108 J104 J100 J96">
    <cfRule type="duplicateValues" priority="6" dxfId="1" stopIfTrue="1">
      <formula>AND(COUNTIF($J$112:$J$112,J96)+COUNTIF($J$108:$J$108,J96)+COUNTIF($J$104:$J$104,J96)+COUNTIF($J$100:$J$100,J96)+COUNTIF($J$96:$J$96,J96)&gt;1,NOT(ISBLANK(J96)))</formula>
    </cfRule>
  </conditionalFormatting>
  <conditionalFormatting sqref="K112 K108 K104 K100 K96">
    <cfRule type="duplicateValues" priority="9" dxfId="1" stopIfTrue="1">
      <formula>AND(COUNTIF($K$112:$K$112,K96)+COUNTIF($K$108:$K$108,K96)+COUNTIF($K$104:$K$104,K96)+COUNTIF($K$100:$K$100,K96)+COUNTIF($K$96:$K$96,K96)&gt;1,NOT(ISBLANK(K96)))</formula>
    </cfRule>
  </conditionalFormatting>
  <conditionalFormatting sqref="H124 H120 H116">
    <cfRule type="duplicateValues" priority="4" dxfId="1" stopIfTrue="1">
      <formula>AND(COUNTIF($H$124:$H$124,H116)+COUNTIF($H$120:$H$120,H116)+COUNTIF($H$116:$H$116,H116)&gt;1,NOT(ISBLANK(H116)))</formula>
    </cfRule>
  </conditionalFormatting>
  <conditionalFormatting sqref="I124 I120 I116">
    <cfRule type="duplicateValues" priority="3" dxfId="1" stopIfTrue="1">
      <formula>AND(COUNTIF($I$124:$I$124,I116)+COUNTIF($I$120:$I$120,I116)+COUNTIF($I$116:$I$116,I116)&gt;1,NOT(ISBLANK(I116)))</formula>
    </cfRule>
  </conditionalFormatting>
  <conditionalFormatting sqref="J124 J120 J116">
    <cfRule type="duplicateValues" priority="2" dxfId="1" stopIfTrue="1">
      <formula>AND(COUNTIF($J$124:$J$124,J116)+COUNTIF($J$120:$J$120,J116)+COUNTIF($J$116:$J$116,J116)&gt;1,NOT(ISBLANK(J116)))</formula>
    </cfRule>
  </conditionalFormatting>
  <conditionalFormatting sqref="K124 K120 K116">
    <cfRule type="duplicateValues" priority="5" dxfId="1" stopIfTrue="1">
      <formula>AND(COUNTIF($K$124:$K$124,K116)+COUNTIF($K$120:$K$120,K116)+COUNTIF($K$116:$K$116,K116)&gt;1,NOT(ISBLANK(K116)))</formula>
    </cfRule>
  </conditionalFormatting>
  <conditionalFormatting sqref="A122:K125">
    <cfRule type="containsText" priority="1" dxfId="663" operator="containsText" stopIfTrue="1" text="#SAYI!">
      <formula>NOT(ISERROR(SEARCH("#SAYI!",A122)))</formula>
    </cfRule>
  </conditionalFormatting>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87" r:id="rId2"/>
  <drawing r:id="rId1"/>
</worksheet>
</file>

<file path=xl/worksheets/sheet7.xml><?xml version="1.0" encoding="utf-8"?>
<worksheet xmlns="http://schemas.openxmlformats.org/spreadsheetml/2006/main" xmlns:r="http://schemas.openxmlformats.org/officeDocument/2006/relationships">
  <sheetPr>
    <tabColor theme="8" tint="-0.24997000396251678"/>
  </sheetPr>
  <dimension ref="A1:A12"/>
  <sheetViews>
    <sheetView view="pageBreakPreview" zoomScale="90" zoomScaleSheetLayoutView="90" zoomScalePageLayoutView="0" workbookViewId="0" topLeftCell="A1">
      <selection activeCell="A9" sqref="A9"/>
    </sheetView>
  </sheetViews>
  <sheetFormatPr defaultColWidth="9.00390625" defaultRowHeight="12.75"/>
  <cols>
    <col min="1" max="1" width="146.625" style="0" customWidth="1"/>
  </cols>
  <sheetData>
    <row r="1" ht="32.25" customHeight="1">
      <c r="A1" s="85" t="s">
        <v>19</v>
      </c>
    </row>
    <row r="2" ht="40.5" customHeight="1">
      <c r="A2" s="86" t="s">
        <v>20</v>
      </c>
    </row>
    <row r="3" ht="40.5" customHeight="1">
      <c r="A3" s="86" t="s">
        <v>21</v>
      </c>
    </row>
    <row r="4" ht="40.5" customHeight="1">
      <c r="A4" s="86" t="s">
        <v>22</v>
      </c>
    </row>
    <row r="5" ht="40.5" customHeight="1">
      <c r="A5" s="86" t="s">
        <v>23</v>
      </c>
    </row>
    <row r="6" ht="40.5" customHeight="1">
      <c r="A6" s="86" t="s">
        <v>24</v>
      </c>
    </row>
    <row r="7" ht="75.75" customHeight="1">
      <c r="A7" s="86" t="s">
        <v>25</v>
      </c>
    </row>
    <row r="8" ht="72" customHeight="1">
      <c r="A8" s="86" t="s">
        <v>39</v>
      </c>
    </row>
    <row r="9" ht="40.5" customHeight="1">
      <c r="A9" s="86" t="s">
        <v>26</v>
      </c>
    </row>
    <row r="10" ht="40.5" customHeight="1">
      <c r="A10" s="86" t="s">
        <v>27</v>
      </c>
    </row>
    <row r="11" ht="50.25" customHeight="1">
      <c r="A11" s="87" t="s">
        <v>28</v>
      </c>
    </row>
    <row r="12" ht="40.5" customHeight="1">
      <c r="A12" s="87" t="s">
        <v>29</v>
      </c>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DELL-BILGISAYAR (dell)</cp:lastModifiedBy>
  <cp:lastPrinted>2014-11-16T09:23:38Z</cp:lastPrinted>
  <dcterms:created xsi:type="dcterms:W3CDTF">2008-08-11T14:10:37Z</dcterms:created>
  <dcterms:modified xsi:type="dcterms:W3CDTF">2014-11-16T14:09:03Z</dcterms:modified>
  <cp:category/>
  <cp:version/>
  <cp:contentType/>
  <cp:contentStatus/>
</cp:coreProperties>
</file>